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uis/Documents/Documents - Louis’s iMac 27 /Treasurer AP/"/>
    </mc:Choice>
  </mc:AlternateContent>
  <xr:revisionPtr revIDLastSave="0" documentId="13_ncr:1_{DEC8E23A-0752-4A45-B060-EFCF2E2D8240}" xr6:coauthVersionLast="47" xr6:coauthVersionMax="47" xr10:uidLastSave="{00000000-0000-0000-0000-000000000000}"/>
  <bookViews>
    <workbookView xWindow="28100" yWindow="1720" windowWidth="23040" windowHeight="23920" activeTab="1" xr2:uid="{00000000-000D-0000-FFFF-FFFF00000000}"/>
  </bookViews>
  <sheets>
    <sheet name="Summary" sheetId="3" r:id="rId1"/>
    <sheet name="2024" sheetId="5" r:id="rId2"/>
    <sheet name="2023" sheetId="2" r:id="rId3"/>
    <sheet name="2022" sheetId="4" r:id="rId4"/>
    <sheet name="2021" sheetId="1" r:id="rId5"/>
  </sheets>
  <definedNames>
    <definedName name="_xlnm.Print_Titles" localSheetId="3">'2022'!$1:$3</definedName>
    <definedName name="_xlnm.Print_Titles" localSheetId="2">'2023'!$1:$3</definedName>
    <definedName name="_xlnm.Print_Titles" localSheetId="1">'2024'!$1:$3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5" l="1"/>
  <c r="J104" i="5"/>
  <c r="J96" i="5"/>
  <c r="J89" i="5"/>
  <c r="J82" i="5"/>
  <c r="J73" i="5"/>
  <c r="J38" i="5"/>
  <c r="J105" i="5" s="1"/>
  <c r="J106" i="5" s="1"/>
  <c r="J35" i="5"/>
  <c r="J27" i="5"/>
  <c r="J11" i="5"/>
  <c r="J13" i="5" s="1"/>
  <c r="J107" i="5" l="1"/>
  <c r="N104" i="5"/>
  <c r="L104" i="5"/>
  <c r="N96" i="5"/>
  <c r="L92" i="5"/>
  <c r="L96" i="5" s="1"/>
  <c r="F92" i="5"/>
  <c r="F96" i="5" s="1"/>
  <c r="N87" i="5"/>
  <c r="N89" i="5" s="1"/>
  <c r="L87" i="5"/>
  <c r="L89" i="5" s="1"/>
  <c r="F87" i="5"/>
  <c r="F85" i="5"/>
  <c r="N82" i="5"/>
  <c r="L82" i="5"/>
  <c r="F82" i="5"/>
  <c r="N73" i="5"/>
  <c r="L73" i="5"/>
  <c r="N38" i="5"/>
  <c r="L38" i="5"/>
  <c r="N11" i="5"/>
  <c r="N13" i="5" s="1"/>
  <c r="L11" i="5"/>
  <c r="L13" i="5" s="1"/>
  <c r="F13" i="5"/>
  <c r="H77" i="2"/>
  <c r="H87" i="2"/>
  <c r="H26" i="2"/>
  <c r="H29" i="2"/>
  <c r="F94" i="2"/>
  <c r="F93" i="2"/>
  <c r="F92" i="2"/>
  <c r="F77" i="2"/>
  <c r="N88" i="2"/>
  <c r="L88" i="2"/>
  <c r="J88" i="2"/>
  <c r="H88" i="2"/>
  <c r="N75" i="2"/>
  <c r="L75" i="2"/>
  <c r="J75" i="2"/>
  <c r="J76" i="2" s="1"/>
  <c r="H75" i="2"/>
  <c r="H76" i="2" s="1"/>
  <c r="F75" i="2"/>
  <c r="F76" i="2" s="1"/>
  <c r="H10" i="2"/>
  <c r="F73" i="5" l="1"/>
  <c r="L105" i="5"/>
  <c r="L106" i="5" s="1"/>
  <c r="F89" i="5"/>
  <c r="F104" i="5"/>
  <c r="N105" i="5"/>
  <c r="N107" i="5" s="1"/>
  <c r="N108" i="5" s="1"/>
  <c r="N95" i="2"/>
  <c r="N81" i="2"/>
  <c r="N66" i="2"/>
  <c r="N31" i="2"/>
  <c r="N11" i="2"/>
  <c r="N13" i="2" s="1"/>
  <c r="N94" i="4"/>
  <c r="L94" i="4"/>
  <c r="J94" i="4"/>
  <c r="H94" i="4"/>
  <c r="F93" i="4"/>
  <c r="F92" i="4"/>
  <c r="F91" i="4"/>
  <c r="L87" i="4"/>
  <c r="H87" i="4"/>
  <c r="N83" i="4"/>
  <c r="N87" i="4" s="1"/>
  <c r="J83" i="4"/>
  <c r="J87" i="4" s="1"/>
  <c r="F83" i="4"/>
  <c r="F87" i="4" s="1"/>
  <c r="H80" i="4"/>
  <c r="N78" i="4"/>
  <c r="N80" i="4" s="1"/>
  <c r="L78" i="4"/>
  <c r="L80" i="4" s="1"/>
  <c r="J78" i="4"/>
  <c r="J80" i="4" s="1"/>
  <c r="F78" i="4"/>
  <c r="F77" i="4"/>
  <c r="F76" i="4"/>
  <c r="N74" i="4"/>
  <c r="L74" i="4"/>
  <c r="J74" i="4"/>
  <c r="H74" i="4"/>
  <c r="F74" i="4"/>
  <c r="L65" i="4"/>
  <c r="J65" i="4"/>
  <c r="H65" i="4"/>
  <c r="F61" i="4"/>
  <c r="F53" i="4"/>
  <c r="N42" i="4"/>
  <c r="N65" i="4" s="1"/>
  <c r="N30" i="4"/>
  <c r="L30" i="4"/>
  <c r="J30" i="4"/>
  <c r="H30" i="4"/>
  <c r="F28" i="4"/>
  <c r="F19" i="4"/>
  <c r="F18" i="4"/>
  <c r="N11" i="4"/>
  <c r="N13" i="4" s="1"/>
  <c r="L11" i="4"/>
  <c r="L13" i="4" s="1"/>
  <c r="J11" i="4"/>
  <c r="J13" i="4" s="1"/>
  <c r="H11" i="4"/>
  <c r="H13" i="4" s="1"/>
  <c r="F11" i="4"/>
  <c r="F13" i="4" s="1"/>
  <c r="F30" i="4" l="1"/>
  <c r="F65" i="4"/>
  <c r="N95" i="4"/>
  <c r="N97" i="4" s="1"/>
  <c r="N98" i="4" s="1"/>
  <c r="H95" i="4"/>
  <c r="H96" i="4" s="1"/>
  <c r="F80" i="4"/>
  <c r="F94" i="4"/>
  <c r="L107" i="5"/>
  <c r="L108" i="5" s="1"/>
  <c r="N96" i="2"/>
  <c r="N98" i="2" s="1"/>
  <c r="N99" i="2" s="1"/>
  <c r="J95" i="4"/>
  <c r="J96" i="4" s="1"/>
  <c r="L95" i="4"/>
  <c r="L97" i="4" s="1"/>
  <c r="L98" i="4" s="1"/>
  <c r="N16" i="3"/>
  <c r="N15" i="3"/>
  <c r="L16" i="3"/>
  <c r="L15" i="3"/>
  <c r="J16" i="3"/>
  <c r="J15" i="3"/>
  <c r="H16" i="3"/>
  <c r="H15" i="3"/>
  <c r="F16" i="3"/>
  <c r="F15" i="3"/>
  <c r="N6" i="3"/>
  <c r="L6" i="3"/>
  <c r="J6" i="3"/>
  <c r="H6" i="3"/>
  <c r="F6" i="3"/>
  <c r="F19" i="2"/>
  <c r="F79" i="2"/>
  <c r="N14" i="3"/>
  <c r="J14" i="3"/>
  <c r="N10" i="3"/>
  <c r="L31" i="2"/>
  <c r="L10" i="3" s="1"/>
  <c r="J31" i="2"/>
  <c r="J10" i="3" s="1"/>
  <c r="H31" i="2"/>
  <c r="H32" i="2" s="1"/>
  <c r="N13" i="3"/>
  <c r="L79" i="2"/>
  <c r="L81" i="2" s="1"/>
  <c r="L13" i="3" s="1"/>
  <c r="N12" i="3"/>
  <c r="L12" i="3"/>
  <c r="J12" i="3"/>
  <c r="H12" i="3"/>
  <c r="H81" i="2"/>
  <c r="H13" i="3" s="1"/>
  <c r="L14" i="3"/>
  <c r="N17" i="3"/>
  <c r="L95" i="2"/>
  <c r="L17" i="3" s="1"/>
  <c r="J95" i="2"/>
  <c r="J17" i="3" s="1"/>
  <c r="H95" i="2"/>
  <c r="H17" i="3" s="1"/>
  <c r="F95" i="2"/>
  <c r="F17" i="3" s="1"/>
  <c r="H66" i="2"/>
  <c r="N11" i="3"/>
  <c r="L66" i="2"/>
  <c r="L11" i="3" s="1"/>
  <c r="J66" i="2"/>
  <c r="F78" i="2"/>
  <c r="F81" i="2" s="1"/>
  <c r="F82" i="2" s="1"/>
  <c r="F84" i="2"/>
  <c r="F88" i="2" s="1"/>
  <c r="H11" i="2"/>
  <c r="H13" i="2" s="1"/>
  <c r="F11" i="2"/>
  <c r="F13" i="2" s="1"/>
  <c r="J11" i="2"/>
  <c r="J13" i="2" s="1"/>
  <c r="J14" i="2" s="1"/>
  <c r="L11" i="2"/>
  <c r="L13" i="2" s="1"/>
  <c r="H97" i="4" l="1"/>
  <c r="H98" i="4" s="1"/>
  <c r="F95" i="4"/>
  <c r="F97" i="4" s="1"/>
  <c r="F98" i="4" s="1"/>
  <c r="J11" i="3"/>
  <c r="J67" i="2"/>
  <c r="H11" i="3"/>
  <c r="H67" i="2"/>
  <c r="H10" i="3"/>
  <c r="J97" i="4"/>
  <c r="J98" i="4" s="1"/>
  <c r="H14" i="3"/>
  <c r="H96" i="2"/>
  <c r="H97" i="2" s="1"/>
  <c r="J5" i="3"/>
  <c r="J7" i="3" s="1"/>
  <c r="F31" i="2"/>
  <c r="F32" i="2" s="1"/>
  <c r="L18" i="3"/>
  <c r="N5" i="3"/>
  <c r="N7" i="3" s="1"/>
  <c r="N18" i="3"/>
  <c r="H5" i="3"/>
  <c r="H7" i="3" s="1"/>
  <c r="L5" i="3"/>
  <c r="L7" i="3" s="1"/>
  <c r="F5" i="3"/>
  <c r="F7" i="3" s="1"/>
  <c r="F12" i="3"/>
  <c r="L96" i="2"/>
  <c r="L98" i="2" s="1"/>
  <c r="L99" i="2" s="1"/>
  <c r="J81" i="2"/>
  <c r="J82" i="2" s="1"/>
  <c r="F66" i="2"/>
  <c r="F67" i="2" s="1"/>
  <c r="F13" i="3" l="1"/>
  <c r="F14" i="3"/>
  <c r="F11" i="3"/>
  <c r="F10" i="3"/>
  <c r="H18" i="3"/>
  <c r="H20" i="3" s="1"/>
  <c r="H98" i="2"/>
  <c r="H99" i="2" s="1"/>
  <c r="N20" i="3"/>
  <c r="N21" i="3" s="1"/>
  <c r="L20" i="3"/>
  <c r="L21" i="3" s="1"/>
  <c r="J96" i="2"/>
  <c r="J13" i="3"/>
  <c r="J18" i="3" s="1"/>
  <c r="J20" i="3" s="1"/>
  <c r="J98" i="2" l="1"/>
  <c r="J99" i="2" s="1"/>
  <c r="J97" i="2"/>
  <c r="F96" i="2"/>
  <c r="F98" i="2" s="1"/>
  <c r="F99" i="2" s="1"/>
  <c r="F18" i="3"/>
  <c r="F20" i="3" s="1"/>
  <c r="H21" i="3"/>
  <c r="J21" i="3"/>
  <c r="F21" i="3" l="1"/>
  <c r="F105" i="5"/>
  <c r="F107" i="5" l="1"/>
</calcChain>
</file>

<file path=xl/sharedStrings.xml><?xml version="1.0" encoding="utf-8"?>
<sst xmlns="http://schemas.openxmlformats.org/spreadsheetml/2006/main" count="409" uniqueCount="199">
  <si>
    <t>Income Ingresos</t>
  </si>
  <si>
    <t>Convention Convenciones</t>
  </si>
  <si>
    <t>Disticcts Distritos</t>
  </si>
  <si>
    <t>Groups Grupos</t>
  </si>
  <si>
    <t>Individuals Individuos</t>
  </si>
  <si>
    <t>Food Kitty Dinero para comida</t>
  </si>
  <si>
    <t>Checking balance comprobar el saldo</t>
  </si>
  <si>
    <t>Total Income Ingresos totales</t>
  </si>
  <si>
    <t>MSCA 09 proposed budget 2021 proyecto de presupuesto 2021</t>
  </si>
  <si>
    <t>2020 budget Presupuesto 2020</t>
  </si>
  <si>
    <t>2020 actual</t>
  </si>
  <si>
    <t>2021 proposed propuesto</t>
  </si>
  <si>
    <t>Expenses Gastos</t>
  </si>
  <si>
    <t>Area meeting Reunion de Zona</t>
  </si>
  <si>
    <t>Coffee Café</t>
  </si>
  <si>
    <t>Foro</t>
  </si>
  <si>
    <t>Pre Conf Wksp Taller de Pre Conferencia</t>
  </si>
  <si>
    <t>MSCA Elections Elecciones</t>
  </si>
  <si>
    <t>Servathon</t>
  </si>
  <si>
    <t>Soundperson Ingeniero de audio</t>
  </si>
  <si>
    <t>Total</t>
  </si>
  <si>
    <t>Committees Comites</t>
  </si>
  <si>
    <t>Ad Hoc</t>
  </si>
  <si>
    <t>Archives Archivos</t>
  </si>
  <si>
    <t>Accessibilities English/Accesibilidad Ingle</t>
  </si>
  <si>
    <t>Accessibilities Spanish / Accesibilidad Español</t>
  </si>
  <si>
    <t>Audit /Auditoría</t>
  </si>
  <si>
    <t>Communications/ Comunicación</t>
  </si>
  <si>
    <t>MSCA 09 Newsletter /Hoja informativa</t>
  </si>
  <si>
    <t>MSCA 09 Website/sitio web</t>
  </si>
  <si>
    <t>Convention Liason English/Enlace de la convención Inglés</t>
  </si>
  <si>
    <t xml:space="preserve">Convention Liaison Spanish / Enlace de la convención Español </t>
  </si>
  <si>
    <t>CPC Spanish/ Español</t>
  </si>
  <si>
    <t xml:space="preserve">CPC English/ Inglés </t>
  </si>
  <si>
    <t>Corrections/ correccional</t>
  </si>
  <si>
    <t>DCM School/Escuela de MCD Inglés</t>
  </si>
  <si>
    <t xml:space="preserve">DCM School Spanish/Escuela de MCD </t>
  </si>
  <si>
    <t>Finance Committee/Comité de finanzas</t>
  </si>
  <si>
    <t>Guidelines and Procedures (GAP)pautas y procedimientos</t>
  </si>
  <si>
    <t>GSR School/Escuela de RSG Inglés</t>
  </si>
  <si>
    <t xml:space="preserve">GSR School Spanish/Escuela de RSG </t>
  </si>
  <si>
    <t>Grapevine</t>
  </si>
  <si>
    <t>LaViña</t>
  </si>
  <si>
    <t xml:space="preserve">Literature English/ Literatura Inglés </t>
  </si>
  <si>
    <t xml:space="preserve"> Literature Spanish/ Literatura Espanol</t>
  </si>
  <si>
    <t xml:space="preserve">PI English/Información Pública Inglés </t>
  </si>
  <si>
    <t>PI Spanish/Información Pública Espanol</t>
  </si>
  <si>
    <t>Registration/ Registro</t>
  </si>
  <si>
    <t>Treatment/ Tratamiento  Inglés</t>
  </si>
  <si>
    <t>Treatment Spanish/ Tratamiento Espanol</t>
  </si>
  <si>
    <t>YPAA/ Jovenes en AA</t>
  </si>
  <si>
    <t xml:space="preserve">Officers/ Oficiales </t>
  </si>
  <si>
    <t xml:space="preserve">Alt Delegate/ Delegado Alterno </t>
  </si>
  <si>
    <t>Chairperson/ Coordinator</t>
  </si>
  <si>
    <t>Delegate/ Delegado</t>
  </si>
  <si>
    <t>Registrar/ Registrador</t>
  </si>
  <si>
    <t>Secretary/Secretario</t>
  </si>
  <si>
    <t>Treasurer AP/Tesorero de cuentas por pagar</t>
  </si>
  <si>
    <t>Treasurer AR/ Tesorero de cuentas por cobrar</t>
  </si>
  <si>
    <t>Archives Rent/Alquiler de Archivos</t>
  </si>
  <si>
    <t>Archives Utilities/ Archivos Utilidades</t>
  </si>
  <si>
    <t>Copier Lease/ Arrendamiento de la copiadora</t>
  </si>
  <si>
    <t>Publishing Copier/ Publicación la copiadora</t>
  </si>
  <si>
    <t>Legal Fees/Honorarios legales</t>
  </si>
  <si>
    <t xml:space="preserve"> Equipment Purchase/ Compra de equipos</t>
  </si>
  <si>
    <t>Liability Insurance / Seguro de propiedad</t>
  </si>
  <si>
    <t>Tax Prep/ Impuesto a la propiedad</t>
  </si>
  <si>
    <t>4 Area DMC Sharing/4 Zona MCD Taller</t>
  </si>
  <si>
    <t>Hispanic Women's Workshop/Taller de mujeres hispanas</t>
  </si>
  <si>
    <t>New Panel Orientation/ Nueva orientación del panel</t>
  </si>
  <si>
    <t>PRAASA</t>
  </si>
  <si>
    <t>Delegate/Delegado</t>
  </si>
  <si>
    <t>Officers/ Oficiales</t>
  </si>
  <si>
    <t>Interpreters/ Intérpretes</t>
  </si>
  <si>
    <t>Regional Forum/ Foro regional</t>
  </si>
  <si>
    <t>Regional Trustee/ Fiduciario regional</t>
  </si>
  <si>
    <t>General Service Conference/ Conferencia de Servicios Generales</t>
  </si>
  <si>
    <t>Available funds/ fondos disponibles</t>
  </si>
  <si>
    <t>Remote Communities</t>
  </si>
  <si>
    <t>HQ Utilities/Utilidades de la Sede</t>
  </si>
  <si>
    <t>Total Expenses</t>
  </si>
  <si>
    <t>Technology (MSCA 09 Website/sitio web)</t>
  </si>
  <si>
    <t>Net Revenue (Expense)</t>
  </si>
  <si>
    <t>Area Meetings</t>
  </si>
  <si>
    <t>Districts/Distritos</t>
  </si>
  <si>
    <t>Convention/Convenciones</t>
  </si>
  <si>
    <t>Groups/Grupos</t>
  </si>
  <si>
    <t>Total Income/Ingresos totales</t>
  </si>
  <si>
    <t>Checking balance/Comprobar el saldo</t>
  </si>
  <si>
    <t>Coffee/Café</t>
  </si>
  <si>
    <t>Interpreters/Intérpretes</t>
  </si>
  <si>
    <t>New Panel Orientation/Nueva orientación del panel</t>
  </si>
  <si>
    <t>Soundperson/Ingeniero de audio</t>
  </si>
  <si>
    <t>Regional Trustee/Fiduciario regional (Biennial)</t>
  </si>
  <si>
    <t>Regional Forum/Foro regional</t>
  </si>
  <si>
    <t>Available funds/Fondos disponibles</t>
  </si>
  <si>
    <t>Food kitty/Dinero para comida</t>
  </si>
  <si>
    <t>Committees/Comites</t>
  </si>
  <si>
    <t>Subtotal Area Meetings/Reunion de Zona</t>
  </si>
  <si>
    <t>Subtotal Committees/Comites</t>
  </si>
  <si>
    <t xml:space="preserve">Subtotal Officers/Oficiales </t>
  </si>
  <si>
    <t>Miscellaneous Income</t>
  </si>
  <si>
    <t>Proposed</t>
  </si>
  <si>
    <t>2021 Budget</t>
  </si>
  <si>
    <t>2020 Actual</t>
  </si>
  <si>
    <t xml:space="preserve">2020 Budget </t>
  </si>
  <si>
    <t>2022 Budget</t>
  </si>
  <si>
    <t>MSCA 09 Proposed Budget 2022</t>
  </si>
  <si>
    <t>Foro (Spanish forum)</t>
  </si>
  <si>
    <t>Newsletter/Hoja informativa</t>
  </si>
  <si>
    <t>Guidelines &amp; Procedures (GAP)</t>
  </si>
  <si>
    <t>Archives/Archivos</t>
  </si>
  <si>
    <t>Audit/Auditoría</t>
  </si>
  <si>
    <t>CEC/Cooperacion con los ancianos</t>
  </si>
  <si>
    <t>Subtotal Facilities</t>
  </si>
  <si>
    <t>Corrections/Correccional</t>
  </si>
  <si>
    <t xml:space="preserve">CPC English/Inglés </t>
  </si>
  <si>
    <t>Communications/Comunicación (less Newsltr/Tech)</t>
  </si>
  <si>
    <t>CPC Spanish/Español</t>
  </si>
  <si>
    <t xml:space="preserve">Literature English/Literatura Inglés </t>
  </si>
  <si>
    <t>Literature Spanish/Literatura Espanol</t>
  </si>
  <si>
    <t>Registration/Registro</t>
  </si>
  <si>
    <t>Treatment/Tratamiento  Inglés</t>
  </si>
  <si>
    <t>Treatment Spanish/Tratamiento Espanol</t>
  </si>
  <si>
    <t>YPAA/Jovenes en AA</t>
  </si>
  <si>
    <t xml:space="preserve">Alt Delegate/Delegado Alterno </t>
  </si>
  <si>
    <t>Chairperson/Coordinator</t>
  </si>
  <si>
    <t>Registrar/Registrador</t>
  </si>
  <si>
    <t>Treasurer AR/Tesorero de cuentas por cobrar</t>
  </si>
  <si>
    <t>Equipment Purchase/Compra de equipos</t>
  </si>
  <si>
    <t>Accessibilities Spanish/Accesibilidad Español</t>
  </si>
  <si>
    <t xml:space="preserve">Convention Liaison Spanish/Enlace de la convención Español </t>
  </si>
  <si>
    <t>Liability Insurance/Seguro de propiedad</t>
  </si>
  <si>
    <t>Subtotal General &amp; Administrative</t>
  </si>
  <si>
    <t>Bank charges/Cargos bancarios</t>
  </si>
  <si>
    <r>
      <t>Legal &amp; Prof Fees/Honorarios legales y prof</t>
    </r>
    <r>
      <rPr>
        <sz val="9"/>
        <color theme="1"/>
        <rFont val="Calibri"/>
        <family val="2"/>
        <scheme val="minor"/>
      </rPr>
      <t xml:space="preserve"> (incl Tax Prep)</t>
    </r>
  </si>
  <si>
    <t>General &amp; Administrative/Generales y administrativos</t>
  </si>
  <si>
    <t>PayPal fees/Tarifas de PayPal</t>
  </si>
  <si>
    <t>Taxes &amp; Licenses/Impuesto y licencias</t>
  </si>
  <si>
    <t>Officers/Oficiales</t>
  </si>
  <si>
    <t>General Service Conference/Conferencia de Servicios Generales</t>
  </si>
  <si>
    <t>International Convention/Convencion Internacional</t>
  </si>
  <si>
    <t>PRAASA (Pacific Region)</t>
  </si>
  <si>
    <t>Area Elections/Elecciones de zona (Biennial)</t>
  </si>
  <si>
    <t>Pre-Conf Workshop/Taller previo al a conferencia</t>
  </si>
  <si>
    <t>Area meeting/Reunion de area</t>
  </si>
  <si>
    <t>HQ Rent/Alquiler de la sede</t>
  </si>
  <si>
    <t>Copier Expense/Gastos de la copiadora</t>
  </si>
  <si>
    <t>Facilities/Instalaciones</t>
  </si>
  <si>
    <t>Servathon (Service workshop)</t>
  </si>
  <si>
    <t>Area Meetings/Reunion de Zona</t>
  </si>
  <si>
    <t>General &amp; Admin./Generales y admin.</t>
  </si>
  <si>
    <t>General Service Conf./Conf. de Servicios Generales</t>
  </si>
  <si>
    <t>Int'l Convention/Convencion Internacional</t>
  </si>
  <si>
    <t>Subtotal PRAASA</t>
  </si>
  <si>
    <r>
      <t>Checking balance/Comprobar el saldo</t>
    </r>
    <r>
      <rPr>
        <sz val="9"/>
        <color theme="1"/>
        <rFont val="Calibri"/>
        <family val="2"/>
        <scheme val="minor"/>
      </rPr>
      <t xml:space="preserve"> (Beg. of year)</t>
    </r>
  </si>
  <si>
    <t>Expenses/Gastos:</t>
  </si>
  <si>
    <t>Income/Ingresos:</t>
  </si>
  <si>
    <t>Committee Chairs</t>
  </si>
  <si>
    <r>
      <rPr>
        <sz val="10"/>
        <color rgb="FFFF0000"/>
        <rFont val="Calibri"/>
        <family val="2"/>
        <scheme val="minor"/>
      </rPr>
      <t>9/30/21</t>
    </r>
    <r>
      <rPr>
        <sz val="10"/>
        <color theme="1"/>
        <rFont val="Calibri"/>
        <family val="2"/>
        <scheme val="minor"/>
      </rPr>
      <t xml:space="preserve"> YTD</t>
    </r>
  </si>
  <si>
    <t>Technology/Technologia</t>
  </si>
  <si>
    <r>
      <t xml:space="preserve">Actual </t>
    </r>
    <r>
      <rPr>
        <sz val="10"/>
        <color rgb="FFFF0000"/>
        <rFont val="Calibri"/>
        <family val="2"/>
        <scheme val="minor"/>
      </rPr>
      <t>9mo</t>
    </r>
  </si>
  <si>
    <r>
      <rPr>
        <sz val="10"/>
        <color rgb="FFFF0000"/>
        <rFont val="Calibri"/>
        <family val="2"/>
        <scheme val="minor"/>
      </rPr>
      <t>11/30/21</t>
    </r>
    <r>
      <rPr>
        <sz val="10"/>
        <color theme="1"/>
        <rFont val="Calibri"/>
        <family val="2"/>
        <scheme val="minor"/>
      </rPr>
      <t xml:space="preserve"> YTD</t>
    </r>
  </si>
  <si>
    <r>
      <t xml:space="preserve">Actual </t>
    </r>
    <r>
      <rPr>
        <sz val="10"/>
        <color rgb="FFFF0000"/>
        <rFont val="Calibri"/>
        <family val="2"/>
        <scheme val="minor"/>
      </rPr>
      <t>11mo</t>
    </r>
  </si>
  <si>
    <r>
      <t>MSCA 09 Proposed Budget 2022</t>
    </r>
    <r>
      <rPr>
        <b/>
        <sz val="10"/>
        <color theme="1"/>
        <rFont val="Calibri"/>
        <family val="2"/>
        <scheme val="minor"/>
      </rPr>
      <t xml:space="preserve"> (Last Revision: 12/12/2021)</t>
    </r>
  </si>
  <si>
    <t>2021 Actual</t>
  </si>
  <si>
    <t>2022 Actual</t>
  </si>
  <si>
    <t>2023 Budget</t>
  </si>
  <si>
    <r>
      <t xml:space="preserve">MSCA 09 2023 Budget </t>
    </r>
    <r>
      <rPr>
        <b/>
        <sz val="10"/>
        <color theme="1"/>
        <rFont val="Calibri"/>
        <family val="2"/>
        <scheme val="minor"/>
      </rPr>
      <t>(Last Revision: 2/12/2023)</t>
    </r>
  </si>
  <si>
    <t>2019 Actual</t>
  </si>
  <si>
    <t>Translation/Traduccion</t>
  </si>
  <si>
    <t>Interpreters/Intérpretes (excl. Translation)</t>
  </si>
  <si>
    <t>ACTUAL</t>
  </si>
  <si>
    <t>Technology/Technologia (excl. Website)</t>
  </si>
  <si>
    <t>Treatment/Tratamiento</t>
  </si>
  <si>
    <t>GAP (Guidelines &amp; Procedures)</t>
  </si>
  <si>
    <t>LaViña (Spanish)</t>
  </si>
  <si>
    <t>Available Funds/Fondos disponibles</t>
  </si>
  <si>
    <t>Available Funds/Fondos disponibles - End of Year</t>
  </si>
  <si>
    <t>4-Area DMC Sharing/4-Zona MCD Taller</t>
  </si>
  <si>
    <t>Coffee &amp; Snacks/Café y Bocadillos</t>
  </si>
  <si>
    <t>Ad hoc Committee/Comité ad hoc</t>
  </si>
  <si>
    <t>HQ Maintenance</t>
  </si>
  <si>
    <t>Alt Delegate/Delegado Alterno</t>
  </si>
  <si>
    <t>Regional Forum/Foro regional (biennial)</t>
  </si>
  <si>
    <r>
      <t>Available funds/Fondos disponibles</t>
    </r>
    <r>
      <rPr>
        <sz val="9"/>
        <color theme="1"/>
        <rFont val="Calibri"/>
        <family val="2"/>
        <scheme val="minor"/>
      </rPr>
      <t xml:space="preserve"> (As of January 1)</t>
    </r>
  </si>
  <si>
    <t>Committee Chairs/Comites Coordinador/a</t>
  </si>
  <si>
    <r>
      <t>Communications/Comunicación</t>
    </r>
    <r>
      <rPr>
        <sz val="9"/>
        <color theme="1"/>
        <rFont val="Calibri"/>
        <family val="2"/>
        <scheme val="minor"/>
      </rPr>
      <t xml:space="preserve"> (less Newsltr/Translation)</t>
    </r>
  </si>
  <si>
    <r>
      <t>Interpreters/Intérpretes</t>
    </r>
    <r>
      <rPr>
        <sz val="10"/>
        <color rgb="FF313131"/>
        <rFont val="Calibri"/>
        <family val="2"/>
        <scheme val="minor"/>
      </rPr>
      <t xml:space="preserve"> (excl. Translation)</t>
    </r>
  </si>
  <si>
    <r>
      <t xml:space="preserve">Area Elections/Elecciones de zona </t>
    </r>
    <r>
      <rPr>
        <sz val="10"/>
        <color theme="1"/>
        <rFont val="Calibri"/>
        <family val="2"/>
        <scheme val="minor"/>
      </rPr>
      <t>(Biennial)</t>
    </r>
  </si>
  <si>
    <r>
      <t>MSCA 09 Proposed Budget 2024</t>
    </r>
    <r>
      <rPr>
        <b/>
        <sz val="10"/>
        <color theme="1"/>
        <rFont val="Calibri"/>
        <family val="2"/>
        <scheme val="minor"/>
      </rPr>
      <t xml:space="preserve"> (Last Revision: 11/14/2023)</t>
    </r>
  </si>
  <si>
    <t>Area Meetings -</t>
  </si>
  <si>
    <t>2025 budget</t>
  </si>
  <si>
    <t>-</t>
  </si>
  <si>
    <t>Actual</t>
  </si>
  <si>
    <t>2024 budget</t>
  </si>
  <si>
    <t>Total for Area meetings</t>
  </si>
  <si>
    <t xml:space="preserve">Intuit and Mailchimp </t>
  </si>
  <si>
    <t>Revised 4/20/25 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</si>
</sst>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rgb="FF3131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3131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4" fontId="0" fillId="0" borderId="0" xfId="1" applyNumberFormat="1" applyFont="1"/>
    <xf numFmtId="164" fontId="0" fillId="0" borderId="2" xfId="1" applyNumberFormat="1" applyFont="1" applyBorder="1"/>
    <xf numFmtId="164" fontId="3" fillId="0" borderId="0" xfId="1" applyNumberFormat="1" applyFont="1"/>
    <xf numFmtId="164" fontId="0" fillId="0" borderId="0" xfId="0" applyNumberFormat="1"/>
    <xf numFmtId="164" fontId="0" fillId="0" borderId="3" xfId="0" applyNumberFormat="1" applyBorder="1"/>
    <xf numFmtId="164" fontId="5" fillId="0" borderId="0" xfId="1" applyNumberFormat="1" applyFont="1"/>
    <xf numFmtId="164" fontId="6" fillId="0" borderId="0" xfId="1" applyNumberFormat="1" applyFont="1"/>
    <xf numFmtId="164" fontId="0" fillId="0" borderId="3" xfId="1" applyNumberFormat="1" applyFont="1" applyBorder="1"/>
    <xf numFmtId="0" fontId="4" fillId="0" borderId="0" xfId="0" applyFont="1"/>
    <xf numFmtId="0" fontId="7" fillId="0" borderId="0" xfId="0" applyFont="1"/>
    <xf numFmtId="164" fontId="4" fillId="0" borderId="4" xfId="1" applyNumberFormat="1" applyFont="1" applyBorder="1"/>
    <xf numFmtId="164" fontId="4" fillId="0" borderId="2" xfId="1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/>
    <xf numFmtId="165" fontId="0" fillId="0" borderId="0" xfId="2" applyNumberFormat="1" applyFont="1"/>
    <xf numFmtId="165" fontId="4" fillId="0" borderId="2" xfId="2" applyNumberFormat="1" applyFont="1" applyBorder="1"/>
    <xf numFmtId="165" fontId="4" fillId="0" borderId="4" xfId="2" applyNumberFormat="1" applyFont="1" applyBorder="1"/>
    <xf numFmtId="164" fontId="11" fillId="0" borderId="0" xfId="1" applyNumberFormat="1" applyFont="1"/>
    <xf numFmtId="43" fontId="3" fillId="0" borderId="0" xfId="1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164" fontId="6" fillId="0" borderId="0" xfId="1" applyNumberFormat="1" applyFont="1" applyAlignment="1">
      <alignment horizontal="left"/>
    </xf>
    <xf numFmtId="164" fontId="0" fillId="0" borderId="7" xfId="1" applyNumberFormat="1" applyFont="1" applyBorder="1"/>
    <xf numFmtId="164" fontId="5" fillId="2" borderId="0" xfId="1" applyNumberFormat="1" applyFont="1" applyFill="1"/>
    <xf numFmtId="164" fontId="3" fillId="2" borderId="0" xfId="1" applyNumberFormat="1" applyFont="1" applyFill="1"/>
    <xf numFmtId="164" fontId="6" fillId="2" borderId="0" xfId="1" applyNumberFormat="1" applyFont="1" applyFill="1"/>
    <xf numFmtId="164" fontId="0" fillId="2" borderId="0" xfId="1" applyNumberFormat="1" applyFont="1" applyFill="1"/>
    <xf numFmtId="164" fontId="11" fillId="2" borderId="0" xfId="1" applyNumberFormat="1" applyFont="1" applyFill="1"/>
    <xf numFmtId="164" fontId="5" fillId="3" borderId="0" xfId="1" applyNumberFormat="1" applyFont="1" applyFill="1"/>
    <xf numFmtId="0" fontId="0" fillId="0" borderId="0" xfId="1" applyNumberFormat="1" applyFont="1"/>
    <xf numFmtId="37" fontId="0" fillId="0" borderId="0" xfId="1" applyNumberFormat="1" applyFont="1"/>
    <xf numFmtId="14" fontId="8" fillId="0" borderId="0" xfId="0" applyNumberFormat="1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workbookViewId="0">
      <pane ySplit="3" topLeftCell="A4" activePane="bottomLeft" state="frozen"/>
      <selection pane="bottomLeft" activeCell="F3" sqref="F3"/>
    </sheetView>
  </sheetViews>
  <sheetFormatPr baseColWidth="10" defaultColWidth="8.83203125" defaultRowHeight="15" x14ac:dyDescent="0.2"/>
  <cols>
    <col min="1" max="3" width="2.6640625" customWidth="1"/>
    <col min="4" max="4" width="30.6640625" customWidth="1"/>
    <col min="5" max="5" width="2.6640625" customWidth="1"/>
    <col min="6" max="6" width="10.33203125" customWidth="1"/>
    <col min="7" max="7" width="2.6640625" customWidth="1"/>
    <col min="8" max="8" width="10.33203125" customWidth="1"/>
    <col min="9" max="9" width="2.6640625" customWidth="1"/>
    <col min="10" max="10" width="10.33203125" customWidth="1"/>
    <col min="11" max="11" width="2.6640625" customWidth="1"/>
    <col min="12" max="12" width="10.33203125" customWidth="1"/>
    <col min="13" max="13" width="2.6640625" customWidth="1"/>
    <col min="14" max="14" width="10.33203125" customWidth="1"/>
    <col min="15" max="15" width="2.6640625" customWidth="1"/>
  </cols>
  <sheetData>
    <row r="1" spans="1:14" ht="16" x14ac:dyDescent="0.2">
      <c r="A1" s="12" t="s">
        <v>107</v>
      </c>
    </row>
    <row r="2" spans="1:14" x14ac:dyDescent="0.2">
      <c r="E2" s="15"/>
      <c r="F2" s="16" t="s">
        <v>102</v>
      </c>
      <c r="G2" s="15"/>
      <c r="H2" s="16" t="s">
        <v>161</v>
      </c>
      <c r="I2" s="15"/>
      <c r="J2" s="16"/>
      <c r="K2" s="15"/>
      <c r="L2" s="15"/>
      <c r="M2" s="15"/>
      <c r="N2" s="15"/>
    </row>
    <row r="3" spans="1:14" x14ac:dyDescent="0.2">
      <c r="E3" s="15"/>
      <c r="F3" s="16" t="s">
        <v>106</v>
      </c>
      <c r="G3" s="15"/>
      <c r="H3" s="16" t="s">
        <v>159</v>
      </c>
      <c r="I3" s="15"/>
      <c r="J3" s="16" t="s">
        <v>103</v>
      </c>
      <c r="K3" s="15"/>
      <c r="L3" s="16" t="s">
        <v>104</v>
      </c>
      <c r="M3" s="15"/>
      <c r="N3" s="16" t="s">
        <v>105</v>
      </c>
    </row>
    <row r="5" spans="1:14" x14ac:dyDescent="0.2">
      <c r="A5" t="s">
        <v>87</v>
      </c>
      <c r="F5" s="18">
        <f>'2023'!F11</f>
        <v>99500</v>
      </c>
      <c r="G5" s="18"/>
      <c r="H5" s="18">
        <f>'2023'!H11</f>
        <v>98938</v>
      </c>
      <c r="I5" s="18"/>
      <c r="J5" s="18">
        <f>'2023'!J11</f>
        <v>83694</v>
      </c>
      <c r="K5" s="18"/>
      <c r="L5" s="18">
        <f>'2023'!L11</f>
        <v>52407</v>
      </c>
      <c r="M5" s="18"/>
      <c r="N5" s="18" t="e">
        <f>'2023'!#REF!</f>
        <v>#REF!</v>
      </c>
    </row>
    <row r="6" spans="1:14" x14ac:dyDescent="0.2">
      <c r="A6" t="s">
        <v>155</v>
      </c>
      <c r="F6" s="3">
        <f>'2023'!F12</f>
        <v>60877</v>
      </c>
      <c r="H6" s="3">
        <f>'2023'!H12</f>
        <v>48604</v>
      </c>
      <c r="J6" s="3">
        <f>'2023'!J12</f>
        <v>48604</v>
      </c>
      <c r="L6" s="3">
        <f>'2023'!L12</f>
        <v>46253</v>
      </c>
      <c r="N6" s="3" t="e">
        <f>'2023'!#REF!</f>
        <v>#REF!</v>
      </c>
    </row>
    <row r="7" spans="1:14" ht="22.5" customHeight="1" x14ac:dyDescent="0.2">
      <c r="B7" s="11" t="s">
        <v>95</v>
      </c>
      <c r="F7" s="19">
        <f>SUM(F5:F6)</f>
        <v>160377</v>
      </c>
      <c r="G7" s="18"/>
      <c r="H7" s="19">
        <f>SUM(H5:H6)</f>
        <v>147542</v>
      </c>
      <c r="I7" s="18"/>
      <c r="J7" s="19">
        <f>SUM(J5:J6)</f>
        <v>132298</v>
      </c>
      <c r="K7" s="18"/>
      <c r="L7" s="19">
        <f>SUM(L5:L6)</f>
        <v>98660</v>
      </c>
      <c r="M7" s="18"/>
      <c r="N7" s="19" t="e">
        <f>SUM(N5:N6)</f>
        <v>#REF!</v>
      </c>
    </row>
    <row r="8" spans="1:14" x14ac:dyDescent="0.2">
      <c r="F8" s="3"/>
      <c r="H8" s="3"/>
      <c r="J8" s="3"/>
      <c r="L8" s="3"/>
      <c r="N8" s="3"/>
    </row>
    <row r="9" spans="1:14" x14ac:dyDescent="0.2">
      <c r="A9" t="s">
        <v>156</v>
      </c>
    </row>
    <row r="10" spans="1:14" x14ac:dyDescent="0.2">
      <c r="B10" t="s">
        <v>150</v>
      </c>
      <c r="F10" s="3">
        <f>'2023'!F31</f>
        <v>42400</v>
      </c>
      <c r="H10" s="3">
        <f>'2023'!H31</f>
        <v>44171</v>
      </c>
      <c r="J10" s="3">
        <f>'2023'!J31</f>
        <v>19625</v>
      </c>
      <c r="L10" s="3">
        <f>'2023'!L31</f>
        <v>5684</v>
      </c>
      <c r="N10" s="3" t="e">
        <f>'2023'!#REF!</f>
        <v>#REF!</v>
      </c>
    </row>
    <row r="11" spans="1:14" x14ac:dyDescent="0.2">
      <c r="B11" t="s">
        <v>97</v>
      </c>
      <c r="F11" s="3">
        <f>'2023'!F66</f>
        <v>41818</v>
      </c>
      <c r="H11" s="3">
        <f>'2023'!H66</f>
        <v>14973</v>
      </c>
      <c r="J11" s="3">
        <f>'2023'!J66</f>
        <v>8894</v>
      </c>
      <c r="L11" s="3">
        <f>'2023'!L66</f>
        <v>5089</v>
      </c>
      <c r="N11" s="3" t="e">
        <f>'2023'!#REF!</f>
        <v>#REF!</v>
      </c>
    </row>
    <row r="12" spans="1:14" x14ac:dyDescent="0.2">
      <c r="B12" t="s">
        <v>51</v>
      </c>
      <c r="F12" s="3">
        <f>'2023'!F75</f>
        <v>19098</v>
      </c>
      <c r="H12" s="3">
        <f>'2023'!H75</f>
        <v>12283</v>
      </c>
      <c r="J12" s="3">
        <f>'2023'!J75</f>
        <v>5832</v>
      </c>
      <c r="L12" s="3">
        <f>'2023'!L75</f>
        <v>2779</v>
      </c>
      <c r="N12" s="3" t="e">
        <f>'2023'!#REF!</f>
        <v>#REF!</v>
      </c>
    </row>
    <row r="13" spans="1:14" x14ac:dyDescent="0.2">
      <c r="B13" t="s">
        <v>148</v>
      </c>
      <c r="F13" s="3">
        <f>'2023'!F81</f>
        <v>25160</v>
      </c>
      <c r="H13" s="3">
        <f>'2023'!H81</f>
        <v>22806</v>
      </c>
      <c r="J13" s="3">
        <f>'2023'!J81</f>
        <v>20155</v>
      </c>
      <c r="L13" s="3">
        <f>'2023'!L81</f>
        <v>14834</v>
      </c>
      <c r="N13" s="3" t="e">
        <f>'2023'!#REF!</f>
        <v>#REF!</v>
      </c>
    </row>
    <row r="14" spans="1:14" x14ac:dyDescent="0.2">
      <c r="B14" t="s">
        <v>151</v>
      </c>
      <c r="F14" s="3">
        <f>'2023'!F88</f>
        <v>4350</v>
      </c>
      <c r="H14" s="3">
        <f>'2023'!H88</f>
        <v>2884</v>
      </c>
      <c r="J14" s="3">
        <f>'2023'!J88</f>
        <v>1991</v>
      </c>
      <c r="L14" s="3">
        <f>'2023'!L88</f>
        <v>703</v>
      </c>
      <c r="N14" s="3" t="e">
        <f>'2023'!#REF!</f>
        <v>#REF!</v>
      </c>
    </row>
    <row r="15" spans="1:14" x14ac:dyDescent="0.2">
      <c r="B15" t="s">
        <v>152</v>
      </c>
      <c r="F15" s="3">
        <f>'2023'!F89</f>
        <v>3200</v>
      </c>
      <c r="H15" s="3">
        <f>'2023'!H89</f>
        <v>3200</v>
      </c>
      <c r="J15" s="3">
        <f>'2023'!J89</f>
        <v>8200</v>
      </c>
      <c r="L15" s="3">
        <f>'2023'!L89</f>
        <v>3200</v>
      </c>
      <c r="N15" s="3" t="e">
        <f>'2023'!#REF!</f>
        <v>#REF!</v>
      </c>
    </row>
    <row r="16" spans="1:14" x14ac:dyDescent="0.2">
      <c r="B16" t="s">
        <v>153</v>
      </c>
      <c r="F16" s="3">
        <f>'2023'!F90</f>
        <v>0</v>
      </c>
      <c r="H16" s="3">
        <f>'2023'!H90</f>
        <v>0</v>
      </c>
      <c r="J16" s="3">
        <f>'2023'!J90</f>
        <v>0</v>
      </c>
      <c r="L16" s="3">
        <f>'2023'!L90</f>
        <v>0</v>
      </c>
      <c r="N16" s="3" t="e">
        <f>'2023'!#REF!</f>
        <v>#REF!</v>
      </c>
    </row>
    <row r="17" spans="1:14" x14ac:dyDescent="0.2">
      <c r="B17" t="s">
        <v>142</v>
      </c>
      <c r="F17" s="3">
        <f>'2023'!F95</f>
        <v>7000</v>
      </c>
      <c r="H17" s="3">
        <f>'2023'!H95</f>
        <v>0</v>
      </c>
      <c r="J17" s="3">
        <f>'2023'!J95</f>
        <v>0</v>
      </c>
      <c r="L17" s="3">
        <f>'2023'!L95</f>
        <v>3282</v>
      </c>
      <c r="N17" s="3" t="e">
        <f>'2023'!#REF!</f>
        <v>#REF!</v>
      </c>
    </row>
    <row r="18" spans="1:14" ht="22.5" customHeight="1" x14ac:dyDescent="0.2">
      <c r="A18" s="11" t="s">
        <v>80</v>
      </c>
      <c r="F18" s="19">
        <f>SUM(F9:F17)</f>
        <v>143026</v>
      </c>
      <c r="G18" s="18"/>
      <c r="H18" s="19">
        <f>SUM(H9:H17)</f>
        <v>100317</v>
      </c>
      <c r="I18" s="18"/>
      <c r="J18" s="19">
        <f>SUM(J9:J17)</f>
        <v>64697</v>
      </c>
      <c r="K18" s="18"/>
      <c r="L18" s="19">
        <f>SUM(L9:L17)</f>
        <v>35571</v>
      </c>
      <c r="M18" s="18"/>
      <c r="N18" s="19" t="e">
        <f>SUM(N9:N17)</f>
        <v>#REF!</v>
      </c>
    </row>
    <row r="19" spans="1:14" x14ac:dyDescent="0.2">
      <c r="F19" s="4"/>
      <c r="H19" s="4"/>
      <c r="J19" s="4"/>
      <c r="L19" s="4"/>
      <c r="N19" s="4"/>
    </row>
    <row r="20" spans="1:14" ht="16" thickBot="1" x14ac:dyDescent="0.25">
      <c r="B20" s="11" t="s">
        <v>82</v>
      </c>
      <c r="F20" s="20">
        <f>F7-F18</f>
        <v>17351</v>
      </c>
      <c r="G20" s="18"/>
      <c r="H20" s="20">
        <f>H7-H18</f>
        <v>47225</v>
      </c>
      <c r="I20" s="18"/>
      <c r="J20" s="20">
        <f>J7-J18</f>
        <v>67601</v>
      </c>
      <c r="K20" s="18"/>
      <c r="L20" s="20">
        <f>L7-L18</f>
        <v>63089</v>
      </c>
      <c r="M20" s="18"/>
      <c r="N20" s="20" t="e">
        <f>N7-N18</f>
        <v>#REF!</v>
      </c>
    </row>
    <row r="21" spans="1:14" ht="16" thickTop="1" x14ac:dyDescent="0.2">
      <c r="F21" s="17">
        <f>ROUND(F20-'2023'!F98,2)</f>
        <v>0</v>
      </c>
      <c r="H21" s="17">
        <f>ROUND(H20-'2023'!H98,2)</f>
        <v>0</v>
      </c>
      <c r="J21" s="17">
        <f>ROUND(J20-'2023'!J98,2)</f>
        <v>0</v>
      </c>
      <c r="L21" s="17">
        <f>ROUND(L20-'2023'!L98,2)</f>
        <v>0</v>
      </c>
      <c r="N21" s="17" t="e">
        <f>ROUND(N20-'2023'!#REF!,2)</f>
        <v>#REF!</v>
      </c>
    </row>
  </sheetData>
  <pageMargins left="0.45" right="0.25" top="0.7" bottom="0.6" header="0.3" footer="0.3"/>
  <pageSetup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8"/>
  <sheetViews>
    <sheetView tabSelected="1" zoomScale="200" zoomScaleNormal="100" workbookViewId="0">
      <pane ySplit="3" topLeftCell="A64" activePane="bottomLeft" state="frozen"/>
      <selection pane="bottomLeft" activeCell="H76" sqref="H76"/>
    </sheetView>
  </sheetViews>
  <sheetFormatPr baseColWidth="10" defaultColWidth="8.83203125" defaultRowHeight="15" x14ac:dyDescent="0.2"/>
  <cols>
    <col min="1" max="3" width="2.6640625" customWidth="1"/>
    <col min="4" max="4" width="39.5" customWidth="1"/>
    <col min="5" max="5" width="2.6640625" customWidth="1"/>
    <col min="6" max="6" width="12.33203125" bestFit="1" customWidth="1"/>
    <col min="7" max="7" width="12.1640625" customWidth="1"/>
    <col min="8" max="8" width="11.33203125" bestFit="1" customWidth="1"/>
    <col min="9" max="9" width="2.6640625" customWidth="1"/>
    <col min="10" max="10" width="14.6640625" customWidth="1"/>
    <col min="11" max="11" width="2.6640625" customWidth="1"/>
    <col min="12" max="12" width="11.5" hidden="1" customWidth="1"/>
    <col min="13" max="13" width="2.6640625" hidden="1" customWidth="1"/>
    <col min="14" max="14" width="10.5" hidden="1" customWidth="1"/>
    <col min="15" max="15" width="2.6640625" hidden="1" customWidth="1"/>
  </cols>
  <sheetData>
    <row r="1" spans="1:15" ht="16" x14ac:dyDescent="0.2">
      <c r="A1" s="12" t="s">
        <v>190</v>
      </c>
      <c r="D1" t="s">
        <v>198</v>
      </c>
    </row>
    <row r="2" spans="1:15" x14ac:dyDescent="0.2">
      <c r="E2" s="15"/>
      <c r="F2" s="16"/>
      <c r="G2" s="15"/>
      <c r="H2" s="16" t="s">
        <v>194</v>
      </c>
      <c r="I2" s="15"/>
      <c r="J2" s="16" t="s">
        <v>194</v>
      </c>
      <c r="K2" s="15"/>
      <c r="L2" s="16"/>
      <c r="M2" s="15"/>
      <c r="N2" s="15"/>
      <c r="O2" s="15"/>
    </row>
    <row r="3" spans="1:15" x14ac:dyDescent="0.2">
      <c r="E3" s="15"/>
      <c r="F3" s="16" t="s">
        <v>192</v>
      </c>
      <c r="G3" s="15"/>
      <c r="H3" s="36">
        <v>45757</v>
      </c>
      <c r="I3" s="15"/>
      <c r="J3" s="16" t="s">
        <v>195</v>
      </c>
      <c r="K3" s="15"/>
      <c r="L3" s="16" t="s">
        <v>103</v>
      </c>
      <c r="M3" s="15"/>
      <c r="N3" s="16" t="s">
        <v>104</v>
      </c>
      <c r="O3" s="15"/>
    </row>
    <row r="4" spans="1:15" x14ac:dyDescent="0.2">
      <c r="A4" t="s">
        <v>157</v>
      </c>
    </row>
    <row r="5" spans="1:15" x14ac:dyDescent="0.2">
      <c r="B5" t="s">
        <v>85</v>
      </c>
      <c r="F5" s="35">
        <v>0</v>
      </c>
      <c r="G5" s="34"/>
      <c r="H5" s="35">
        <v>0</v>
      </c>
      <c r="J5" s="3">
        <v>1500</v>
      </c>
      <c r="K5" s="3"/>
      <c r="L5" s="3">
        <v>2625</v>
      </c>
      <c r="M5" s="3"/>
      <c r="N5" s="3">
        <v>2406</v>
      </c>
      <c r="O5" s="3"/>
    </row>
    <row r="6" spans="1:15" x14ac:dyDescent="0.2">
      <c r="B6" t="s">
        <v>84</v>
      </c>
      <c r="F6" s="3">
        <v>1700</v>
      </c>
      <c r="G6" s="3"/>
      <c r="H6" s="3">
        <v>92</v>
      </c>
      <c r="J6" s="3">
        <v>1200</v>
      </c>
      <c r="K6" s="3"/>
      <c r="L6" s="3">
        <v>1425</v>
      </c>
      <c r="M6" s="3"/>
      <c r="N6" s="3">
        <v>1243</v>
      </c>
      <c r="O6" s="3"/>
    </row>
    <row r="7" spans="1:15" x14ac:dyDescent="0.2">
      <c r="B7" t="s">
        <v>86</v>
      </c>
      <c r="F7" s="8">
        <v>93000</v>
      </c>
      <c r="G7" s="3"/>
      <c r="H7" s="3">
        <v>28000</v>
      </c>
      <c r="J7" s="3">
        <v>90000</v>
      </c>
      <c r="K7" s="3"/>
      <c r="L7" s="3">
        <v>61000</v>
      </c>
      <c r="M7" s="3"/>
      <c r="N7" s="3">
        <v>46125</v>
      </c>
      <c r="O7" s="3"/>
    </row>
    <row r="8" spans="1:15" x14ac:dyDescent="0.2">
      <c r="B8" t="s">
        <v>4</v>
      </c>
      <c r="F8" s="3">
        <v>800</v>
      </c>
      <c r="G8" s="3"/>
      <c r="H8" s="3">
        <v>64</v>
      </c>
      <c r="J8" s="3">
        <v>2000</v>
      </c>
      <c r="K8" s="3"/>
      <c r="L8" s="3">
        <v>1900</v>
      </c>
      <c r="M8" s="3"/>
      <c r="N8" s="3">
        <v>1410</v>
      </c>
      <c r="O8" s="3"/>
    </row>
    <row r="9" spans="1:15" x14ac:dyDescent="0.2">
      <c r="B9" t="s">
        <v>96</v>
      </c>
      <c r="F9" s="3">
        <v>4500</v>
      </c>
      <c r="G9" s="3"/>
      <c r="H9" s="3">
        <v>1151</v>
      </c>
      <c r="J9" s="3">
        <v>4800</v>
      </c>
      <c r="K9" s="3"/>
      <c r="L9" s="3">
        <v>3250</v>
      </c>
      <c r="M9" s="3"/>
      <c r="N9" s="3">
        <v>1223</v>
      </c>
      <c r="O9" s="3"/>
    </row>
    <row r="10" spans="1:15" x14ac:dyDescent="0.2">
      <c r="B10" t="s">
        <v>101</v>
      </c>
      <c r="F10" s="3">
        <v>0</v>
      </c>
      <c r="G10" s="3"/>
      <c r="H10" s="27"/>
      <c r="J10" s="3"/>
      <c r="K10" s="3"/>
      <c r="L10" s="3">
        <v>0</v>
      </c>
      <c r="M10" s="3"/>
      <c r="N10" s="3">
        <v>0</v>
      </c>
      <c r="O10" s="3"/>
    </row>
    <row r="11" spans="1:15" x14ac:dyDescent="0.2">
      <c r="A11" t="s">
        <v>87</v>
      </c>
      <c r="F11" s="4">
        <v>100000</v>
      </c>
      <c r="G11" s="3"/>
      <c r="H11" s="3">
        <v>31297</v>
      </c>
      <c r="J11" s="4">
        <f>SUM(J5:J10)</f>
        <v>99500</v>
      </c>
      <c r="K11" s="3"/>
      <c r="L11" s="4">
        <f>SUM(L5:L10)</f>
        <v>70200</v>
      </c>
      <c r="M11" s="3"/>
      <c r="N11" s="4">
        <f>SUM(N5:N10)</f>
        <v>52407</v>
      </c>
      <c r="O11" s="3"/>
    </row>
    <row r="12" spans="1:15" ht="22.5" customHeight="1" x14ac:dyDescent="0.2">
      <c r="A12" t="s">
        <v>88</v>
      </c>
      <c r="F12" s="5">
        <v>10000</v>
      </c>
      <c r="G12" s="3"/>
      <c r="H12" s="3">
        <v>7515</v>
      </c>
      <c r="J12" s="5">
        <v>48836.42</v>
      </c>
      <c r="K12" s="3"/>
      <c r="L12" s="5">
        <v>48604</v>
      </c>
      <c r="M12" s="3"/>
      <c r="N12" s="3">
        <v>46253</v>
      </c>
      <c r="O12" s="3"/>
    </row>
    <row r="13" spans="1:15" ht="22.5" customHeight="1" x14ac:dyDescent="0.2">
      <c r="B13" s="11" t="s">
        <v>185</v>
      </c>
      <c r="F13" s="14">
        <f>SUM(F11:F12)</f>
        <v>110000</v>
      </c>
      <c r="G13" s="3"/>
      <c r="H13" s="14">
        <v>39963</v>
      </c>
      <c r="J13" s="14">
        <f>SUM(J11:J12)</f>
        <v>148336.41999999998</v>
      </c>
      <c r="K13" s="3"/>
      <c r="L13" s="14">
        <f>SUM(L11:L12)</f>
        <v>118804</v>
      </c>
      <c r="M13" s="3"/>
      <c r="N13" s="14">
        <f>SUM(N11:N12)</f>
        <v>98660</v>
      </c>
      <c r="O13" s="3"/>
    </row>
    <row r="14" spans="1:15" x14ac:dyDescent="0.2">
      <c r="F14" s="3"/>
      <c r="G14" s="3"/>
      <c r="H14" s="3"/>
      <c r="J14" s="3"/>
      <c r="K14" s="3"/>
      <c r="L14" s="3"/>
      <c r="M14" s="3"/>
      <c r="N14" s="3"/>
      <c r="O14" s="3"/>
    </row>
    <row r="15" spans="1:15" x14ac:dyDescent="0.2">
      <c r="A15" t="s">
        <v>156</v>
      </c>
      <c r="F15" s="3"/>
      <c r="G15" s="3"/>
      <c r="H15" s="3"/>
      <c r="J15" s="3"/>
      <c r="K15" s="3"/>
    </row>
    <row r="16" spans="1:15" x14ac:dyDescent="0.2">
      <c r="C16" t="s">
        <v>67</v>
      </c>
      <c r="F16" s="3">
        <v>500</v>
      </c>
      <c r="G16" s="3"/>
      <c r="H16" s="3">
        <v>500</v>
      </c>
      <c r="J16" s="3">
        <v>500</v>
      </c>
      <c r="K16" s="3"/>
      <c r="L16" s="3">
        <v>500</v>
      </c>
      <c r="M16" s="3"/>
      <c r="N16" s="3">
        <v>0</v>
      </c>
      <c r="O16" s="3"/>
    </row>
    <row r="17" spans="2:17" ht="22.5" customHeight="1" x14ac:dyDescent="0.2">
      <c r="B17" t="s">
        <v>191</v>
      </c>
      <c r="C17" s="2"/>
      <c r="F17" s="3"/>
      <c r="G17" s="3"/>
      <c r="H17" s="3"/>
      <c r="J17" s="3"/>
      <c r="K17" s="3"/>
      <c r="L17" s="3"/>
      <c r="M17" s="3"/>
      <c r="N17" s="3"/>
      <c r="O17" s="3"/>
    </row>
    <row r="18" spans="2:17" x14ac:dyDescent="0.2">
      <c r="C18" t="s">
        <v>145</v>
      </c>
      <c r="F18" s="9">
        <v>12000</v>
      </c>
      <c r="G18" s="3"/>
      <c r="H18" s="3">
        <v>5178</v>
      </c>
      <c r="J18" s="9">
        <v>18000</v>
      </c>
      <c r="K18" s="3"/>
      <c r="L18" s="3">
        <v>10800</v>
      </c>
      <c r="M18" s="3"/>
      <c r="N18" s="3">
        <v>3443</v>
      </c>
      <c r="O18" s="3"/>
    </row>
    <row r="19" spans="2:17" x14ac:dyDescent="0.2">
      <c r="C19" t="s">
        <v>89</v>
      </c>
      <c r="F19" s="30">
        <v>4000</v>
      </c>
      <c r="G19" s="3"/>
      <c r="H19" s="3">
        <v>806</v>
      </c>
      <c r="J19" s="9">
        <v>3600</v>
      </c>
      <c r="K19" s="3"/>
      <c r="L19" s="3">
        <v>3000</v>
      </c>
      <c r="M19" s="3"/>
      <c r="N19" s="3">
        <v>490</v>
      </c>
      <c r="O19" s="3"/>
    </row>
    <row r="20" spans="2:17" x14ac:dyDescent="0.2">
      <c r="C20" t="s">
        <v>108</v>
      </c>
      <c r="F20" s="3">
        <v>2000</v>
      </c>
      <c r="G20" s="3"/>
      <c r="H20" s="3">
        <v>150</v>
      </c>
      <c r="J20" s="3">
        <v>2000</v>
      </c>
      <c r="K20" s="3"/>
      <c r="L20" s="3">
        <v>1600</v>
      </c>
      <c r="M20" s="3"/>
      <c r="N20" s="3">
        <v>0</v>
      </c>
      <c r="O20" s="3"/>
    </row>
    <row r="21" spans="2:17" x14ac:dyDescent="0.2">
      <c r="C21" t="s">
        <v>144</v>
      </c>
      <c r="F21" s="3">
        <v>2000</v>
      </c>
      <c r="G21" s="3"/>
      <c r="H21" s="3">
        <v>887</v>
      </c>
      <c r="J21" s="3">
        <v>2000</v>
      </c>
      <c r="K21" s="3"/>
      <c r="L21" s="3">
        <v>1800</v>
      </c>
      <c r="M21" s="3"/>
      <c r="N21" s="3">
        <v>0</v>
      </c>
      <c r="O21" s="3"/>
    </row>
    <row r="22" spans="2:17" x14ac:dyDescent="0.2">
      <c r="C22" t="s">
        <v>189</v>
      </c>
      <c r="F22" s="31">
        <v>2112</v>
      </c>
      <c r="G22" s="3"/>
      <c r="H22" s="3"/>
      <c r="J22" s="3"/>
      <c r="K22" s="3"/>
      <c r="L22" s="3">
        <v>1800</v>
      </c>
      <c r="M22" s="3"/>
      <c r="N22" s="3">
        <v>0</v>
      </c>
      <c r="O22" s="3"/>
      <c r="Q22" s="6"/>
    </row>
    <row r="23" spans="2:17" x14ac:dyDescent="0.2">
      <c r="C23" t="s">
        <v>149</v>
      </c>
      <c r="F23" s="3">
        <v>2000</v>
      </c>
      <c r="G23" s="3"/>
      <c r="H23" s="3"/>
      <c r="J23" s="3">
        <v>2000</v>
      </c>
      <c r="K23" s="3"/>
      <c r="L23" s="3">
        <v>1600</v>
      </c>
      <c r="M23" s="3"/>
      <c r="N23" s="3">
        <v>0</v>
      </c>
      <c r="O23" s="3"/>
    </row>
    <row r="24" spans="2:17" x14ac:dyDescent="0.2">
      <c r="C24" s="2" t="s">
        <v>188</v>
      </c>
      <c r="F24" s="9">
        <v>9000</v>
      </c>
      <c r="G24" s="3"/>
      <c r="H24" s="3">
        <v>3417</v>
      </c>
      <c r="J24" s="9">
        <v>5000</v>
      </c>
      <c r="K24" s="3"/>
      <c r="L24" s="3">
        <v>10000</v>
      </c>
      <c r="M24" s="3"/>
      <c r="N24" s="3">
        <v>1586</v>
      </c>
      <c r="O24" s="3"/>
    </row>
    <row r="25" spans="2:17" x14ac:dyDescent="0.2">
      <c r="B25" s="2"/>
      <c r="C25" t="s">
        <v>170</v>
      </c>
      <c r="F25" s="5">
        <v>2000</v>
      </c>
      <c r="G25" s="3"/>
      <c r="H25" s="3"/>
      <c r="J25" s="9"/>
      <c r="K25" s="3"/>
      <c r="L25" s="3"/>
      <c r="M25" s="3"/>
      <c r="N25" s="3"/>
      <c r="O25" s="3"/>
    </row>
    <row r="26" spans="2:17" x14ac:dyDescent="0.2">
      <c r="C26" t="s">
        <v>92</v>
      </c>
      <c r="F26" s="3">
        <v>500</v>
      </c>
      <c r="G26" s="3"/>
      <c r="H26" s="3">
        <v>83</v>
      </c>
      <c r="J26" s="27">
        <v>500</v>
      </c>
      <c r="K26" s="3"/>
      <c r="L26" s="3">
        <v>500</v>
      </c>
      <c r="M26" s="3"/>
      <c r="N26" s="3">
        <v>7</v>
      </c>
      <c r="O26" s="3"/>
      <c r="P26" s="6"/>
    </row>
    <row r="27" spans="2:17" x14ac:dyDescent="0.2">
      <c r="B27" t="s">
        <v>196</v>
      </c>
      <c r="F27" s="3">
        <v>35612</v>
      </c>
      <c r="G27" s="3"/>
      <c r="H27" s="3">
        <v>10521</v>
      </c>
      <c r="J27" s="3">
        <f>SUM(J18:J26)</f>
        <v>33100</v>
      </c>
      <c r="K27" s="3"/>
      <c r="L27" s="3"/>
      <c r="M27" s="3"/>
      <c r="N27" s="3"/>
      <c r="O27" s="3"/>
      <c r="P27" s="6"/>
    </row>
    <row r="28" spans="2:17" x14ac:dyDescent="0.2">
      <c r="F28" s="3"/>
      <c r="G28" s="3"/>
      <c r="H28" s="3"/>
      <c r="J28" s="3"/>
      <c r="K28" s="3"/>
      <c r="L28" s="3"/>
      <c r="M28" s="3"/>
      <c r="N28" s="3"/>
      <c r="O28" s="3"/>
      <c r="P28" s="6"/>
    </row>
    <row r="29" spans="2:17" ht="23" customHeight="1" x14ac:dyDescent="0.2">
      <c r="B29" t="s">
        <v>68</v>
      </c>
      <c r="F29" s="3">
        <v>600</v>
      </c>
      <c r="G29" s="3"/>
      <c r="H29" s="3">
        <v>360</v>
      </c>
      <c r="J29" s="3">
        <v>2000</v>
      </c>
      <c r="K29" s="3"/>
      <c r="L29" s="3">
        <v>800</v>
      </c>
      <c r="M29" s="3"/>
      <c r="N29" s="3">
        <v>0</v>
      </c>
      <c r="O29" s="3"/>
      <c r="P29" s="6"/>
    </row>
    <row r="30" spans="2:17" ht="23" customHeight="1" x14ac:dyDescent="0.2">
      <c r="B30" t="s">
        <v>184</v>
      </c>
      <c r="F30" s="3"/>
      <c r="G30" s="3"/>
      <c r="H30" s="3"/>
      <c r="J30" s="9"/>
      <c r="K30" s="3"/>
      <c r="L30" s="3">
        <v>0</v>
      </c>
      <c r="M30" s="3"/>
      <c r="N30" s="3">
        <v>0</v>
      </c>
      <c r="O30" s="3"/>
    </row>
    <row r="31" spans="2:17" x14ac:dyDescent="0.2">
      <c r="C31" t="s">
        <v>125</v>
      </c>
      <c r="F31" s="9"/>
      <c r="G31" s="3"/>
      <c r="H31" s="3"/>
      <c r="J31" s="9">
        <v>500</v>
      </c>
      <c r="K31" s="3"/>
      <c r="L31" s="3">
        <v>2000</v>
      </c>
      <c r="M31" s="3"/>
      <c r="N31" s="3">
        <v>29</v>
      </c>
      <c r="O31" s="3"/>
    </row>
    <row r="32" spans="2:17" x14ac:dyDescent="0.2">
      <c r="C32" t="s">
        <v>71</v>
      </c>
      <c r="F32" s="9"/>
      <c r="G32" s="3"/>
      <c r="H32" s="3"/>
      <c r="J32" s="9">
        <v>1500</v>
      </c>
      <c r="K32" s="3"/>
      <c r="L32" s="3">
        <v>5800</v>
      </c>
      <c r="M32" s="3"/>
      <c r="N32" s="3">
        <v>514</v>
      </c>
      <c r="O32" s="3"/>
    </row>
    <row r="33" spans="2:15" x14ac:dyDescent="0.2">
      <c r="C33" t="s">
        <v>51</v>
      </c>
      <c r="F33" s="9"/>
      <c r="G33" s="3"/>
      <c r="H33" s="3"/>
      <c r="J33" s="9">
        <v>3000</v>
      </c>
      <c r="K33" s="3"/>
      <c r="L33" s="3"/>
      <c r="M33" s="3"/>
      <c r="N33" s="3"/>
      <c r="O33" s="3"/>
    </row>
    <row r="34" spans="2:15" x14ac:dyDescent="0.2">
      <c r="C34" t="s">
        <v>186</v>
      </c>
      <c r="F34" s="3"/>
      <c r="G34" s="3"/>
      <c r="H34" s="3"/>
      <c r="J34" s="9">
        <v>5000</v>
      </c>
      <c r="K34" s="3"/>
      <c r="L34" s="3"/>
      <c r="M34" s="3"/>
      <c r="N34" s="3"/>
      <c r="O34" s="3"/>
    </row>
    <row r="35" spans="2:15" x14ac:dyDescent="0.2">
      <c r="F35" s="4"/>
      <c r="G35" s="3"/>
      <c r="H35" s="3"/>
      <c r="J35" s="4">
        <f>SUM(J30:J34)</f>
        <v>10000</v>
      </c>
      <c r="K35" s="3"/>
      <c r="L35" s="3"/>
      <c r="M35" s="3"/>
      <c r="N35" s="3"/>
      <c r="O35" s="3"/>
    </row>
    <row r="36" spans="2:15" x14ac:dyDescent="0.2">
      <c r="B36" t="s">
        <v>93</v>
      </c>
      <c r="F36" s="5">
        <v>1500</v>
      </c>
      <c r="G36" s="3"/>
      <c r="H36" s="3"/>
      <c r="J36" s="3"/>
      <c r="K36" s="3"/>
      <c r="L36" s="3">
        <v>1200</v>
      </c>
      <c r="M36" s="3"/>
      <c r="N36" s="3">
        <v>0</v>
      </c>
      <c r="O36" s="3"/>
    </row>
    <row r="37" spans="2:15" ht="23" customHeight="1" x14ac:dyDescent="0.2">
      <c r="B37" t="s">
        <v>91</v>
      </c>
      <c r="F37" s="3"/>
      <c r="G37" s="3"/>
      <c r="H37" s="3"/>
      <c r="J37" s="3">
        <v>1200</v>
      </c>
      <c r="K37" s="3"/>
      <c r="L37" s="3">
        <v>0</v>
      </c>
      <c r="M37" s="3"/>
      <c r="N37" s="3">
        <v>158</v>
      </c>
      <c r="O37" s="3"/>
    </row>
    <row r="38" spans="2:15" ht="22.5" customHeight="1" x14ac:dyDescent="0.2">
      <c r="B38" t="s">
        <v>98</v>
      </c>
      <c r="F38" s="10">
        <v>37712</v>
      </c>
      <c r="G38" s="3"/>
      <c r="H38" s="3">
        <v>10881</v>
      </c>
      <c r="J38" s="10">
        <f>J16+SUM(J27:J30)+SUM(J35:J37)</f>
        <v>46800</v>
      </c>
      <c r="K38" s="3"/>
      <c r="L38" s="10">
        <f>SUM(L16:L37)</f>
        <v>41400</v>
      </c>
      <c r="M38" s="3"/>
      <c r="N38" s="10">
        <f>SUM(N16:N37)</f>
        <v>6227</v>
      </c>
      <c r="O38" s="3"/>
    </row>
    <row r="39" spans="2:15" x14ac:dyDescent="0.2">
      <c r="B39" t="s">
        <v>197</v>
      </c>
      <c r="F39" s="3">
        <v>2190</v>
      </c>
      <c r="G39" s="3"/>
      <c r="H39" s="3">
        <v>2190</v>
      </c>
      <c r="J39" s="3"/>
      <c r="K39" s="3"/>
      <c r="L39" s="3"/>
      <c r="M39" s="3"/>
      <c r="N39" s="3"/>
      <c r="O39" s="3"/>
    </row>
    <row r="40" spans="2:15" x14ac:dyDescent="0.2">
      <c r="B40" t="s">
        <v>97</v>
      </c>
      <c r="F40" s="3"/>
      <c r="G40" s="3"/>
      <c r="H40" s="3">
        <v>0</v>
      </c>
      <c r="J40" s="3"/>
      <c r="K40" s="3"/>
      <c r="L40" s="3"/>
      <c r="M40" s="3"/>
      <c r="N40" s="3"/>
      <c r="O40" s="3"/>
    </row>
    <row r="41" spans="2:15" x14ac:dyDescent="0.2">
      <c r="C41" t="s">
        <v>24</v>
      </c>
      <c r="F41" s="3">
        <v>600</v>
      </c>
      <c r="G41" s="3"/>
      <c r="H41" s="3">
        <v>0</v>
      </c>
      <c r="J41" s="3">
        <v>600</v>
      </c>
      <c r="K41" s="3"/>
      <c r="L41" s="9">
        <v>600</v>
      </c>
      <c r="M41" s="3"/>
      <c r="N41" s="3">
        <v>0</v>
      </c>
      <c r="O41" s="3"/>
    </row>
    <row r="42" spans="2:15" x14ac:dyDescent="0.2">
      <c r="D42" t="s">
        <v>130</v>
      </c>
      <c r="F42" s="3">
        <v>600</v>
      </c>
      <c r="G42" s="3"/>
      <c r="H42" s="3">
        <v>0</v>
      </c>
      <c r="J42" s="3">
        <v>600</v>
      </c>
      <c r="K42" s="3"/>
      <c r="L42" s="9">
        <v>400</v>
      </c>
      <c r="M42" s="3"/>
      <c r="N42" s="3">
        <v>0</v>
      </c>
      <c r="O42" s="3"/>
    </row>
    <row r="43" spans="2:15" x14ac:dyDescent="0.2">
      <c r="C43" t="s">
        <v>22</v>
      </c>
      <c r="F43" s="3">
        <v>150</v>
      </c>
      <c r="G43" s="3"/>
      <c r="H43" s="3"/>
      <c r="J43" s="3">
        <v>150</v>
      </c>
      <c r="K43" s="3"/>
      <c r="L43" s="3">
        <v>300</v>
      </c>
      <c r="M43" s="3"/>
      <c r="N43" s="3">
        <v>0</v>
      </c>
      <c r="O43" s="3"/>
    </row>
    <row r="44" spans="2:15" x14ac:dyDescent="0.2">
      <c r="C44" t="s">
        <v>111</v>
      </c>
      <c r="F44" s="28">
        <v>5180</v>
      </c>
      <c r="G44" s="3"/>
      <c r="H44" s="3">
        <v>1153</v>
      </c>
      <c r="J44" s="9">
        <v>4985</v>
      </c>
      <c r="K44" s="3"/>
      <c r="L44" s="3">
        <v>2900</v>
      </c>
      <c r="M44" s="3"/>
      <c r="N44" s="3">
        <v>1696</v>
      </c>
      <c r="O44" s="3"/>
    </row>
    <row r="45" spans="2:15" x14ac:dyDescent="0.2">
      <c r="C45" t="s">
        <v>112</v>
      </c>
      <c r="F45" s="3">
        <v>150</v>
      </c>
      <c r="G45" s="3"/>
      <c r="H45" s="3"/>
      <c r="J45" s="3">
        <v>150</v>
      </c>
      <c r="K45" s="3"/>
      <c r="L45" s="3">
        <v>150</v>
      </c>
      <c r="M45" s="3"/>
      <c r="N45" s="3">
        <v>0</v>
      </c>
      <c r="O45" s="3"/>
    </row>
    <row r="46" spans="2:15" x14ac:dyDescent="0.2">
      <c r="C46" t="s">
        <v>113</v>
      </c>
      <c r="F46" s="28">
        <v>900</v>
      </c>
      <c r="G46" s="3"/>
      <c r="H46" s="3">
        <v>150</v>
      </c>
      <c r="J46" s="9">
        <v>900</v>
      </c>
      <c r="K46" s="3"/>
      <c r="L46" s="3">
        <v>900</v>
      </c>
      <c r="M46" s="3"/>
      <c r="N46" s="3">
        <v>0</v>
      </c>
      <c r="O46" s="3"/>
    </row>
    <row r="47" spans="2:15" x14ac:dyDescent="0.2">
      <c r="C47" t="s">
        <v>187</v>
      </c>
      <c r="F47" s="28">
        <v>1000</v>
      </c>
      <c r="G47" s="3"/>
      <c r="H47" s="3">
        <v>44</v>
      </c>
      <c r="J47" s="9">
        <v>1000</v>
      </c>
      <c r="K47" s="3"/>
      <c r="L47" s="3">
        <v>1000</v>
      </c>
      <c r="M47" s="3"/>
      <c r="N47" s="3">
        <v>84</v>
      </c>
      <c r="O47" s="3"/>
    </row>
    <row r="48" spans="2:15" x14ac:dyDescent="0.2">
      <c r="D48" t="s">
        <v>109</v>
      </c>
      <c r="F48" s="28">
        <v>600</v>
      </c>
      <c r="G48" s="3"/>
      <c r="H48" s="3"/>
      <c r="J48" s="9">
        <v>1200</v>
      </c>
      <c r="K48" s="3"/>
      <c r="L48" s="3">
        <v>1200</v>
      </c>
      <c r="M48" s="3"/>
      <c r="N48" s="3">
        <v>228</v>
      </c>
      <c r="O48" s="3"/>
    </row>
    <row r="49" spans="3:15" x14ac:dyDescent="0.2">
      <c r="C49" t="s">
        <v>30</v>
      </c>
      <c r="F49" s="29">
        <v>3105</v>
      </c>
      <c r="G49" s="3"/>
      <c r="H49" s="3">
        <v>389</v>
      </c>
      <c r="J49" s="9">
        <v>3105</v>
      </c>
      <c r="K49" s="3"/>
      <c r="L49" s="3">
        <v>3105</v>
      </c>
      <c r="M49" s="3"/>
      <c r="N49" s="3">
        <v>34</v>
      </c>
      <c r="O49" s="3"/>
    </row>
    <row r="50" spans="3:15" x14ac:dyDescent="0.2">
      <c r="D50" t="s">
        <v>131</v>
      </c>
      <c r="F50" s="33">
        <v>600</v>
      </c>
      <c r="G50" s="3"/>
      <c r="H50" s="3"/>
      <c r="J50" s="9">
        <v>1500</v>
      </c>
      <c r="K50" s="3"/>
      <c r="L50" s="3">
        <v>1500</v>
      </c>
      <c r="M50" s="3"/>
      <c r="N50" s="3">
        <v>0</v>
      </c>
      <c r="O50" s="3"/>
    </row>
    <row r="51" spans="3:15" x14ac:dyDescent="0.2">
      <c r="C51" t="s">
        <v>115</v>
      </c>
      <c r="F51" s="32">
        <v>2500</v>
      </c>
      <c r="G51" s="3"/>
      <c r="H51" s="3">
        <v>670</v>
      </c>
      <c r="J51" s="9">
        <v>600</v>
      </c>
      <c r="K51" s="3"/>
      <c r="L51" s="3">
        <v>2500</v>
      </c>
      <c r="M51" s="3"/>
      <c r="N51" s="3">
        <v>452</v>
      </c>
      <c r="O51" s="3"/>
    </row>
    <row r="52" spans="3:15" x14ac:dyDescent="0.2">
      <c r="C52" t="s">
        <v>116</v>
      </c>
      <c r="F52" s="28">
        <v>1500</v>
      </c>
      <c r="G52" s="3"/>
      <c r="H52" s="3">
        <v>1219</v>
      </c>
      <c r="J52" s="9">
        <v>3000</v>
      </c>
      <c r="K52" s="3"/>
      <c r="L52" s="3">
        <v>3000</v>
      </c>
      <c r="M52" s="3"/>
      <c r="N52" s="3">
        <v>7</v>
      </c>
      <c r="O52" s="3"/>
    </row>
    <row r="53" spans="3:15" x14ac:dyDescent="0.2">
      <c r="D53" t="s">
        <v>118</v>
      </c>
      <c r="F53" s="3">
        <v>600</v>
      </c>
      <c r="G53" s="3"/>
      <c r="H53" s="3"/>
      <c r="J53" s="3">
        <v>600</v>
      </c>
      <c r="K53" s="3"/>
      <c r="L53" s="3">
        <v>400</v>
      </c>
      <c r="M53" s="3"/>
      <c r="N53" s="3">
        <v>48</v>
      </c>
      <c r="O53" s="3"/>
    </row>
    <row r="54" spans="3:15" x14ac:dyDescent="0.2">
      <c r="C54" t="s">
        <v>35</v>
      </c>
      <c r="F54" s="28">
        <v>600</v>
      </c>
      <c r="G54" s="3"/>
      <c r="H54" s="3"/>
      <c r="J54" s="3">
        <v>810</v>
      </c>
      <c r="K54" s="3"/>
      <c r="L54" s="3">
        <v>400</v>
      </c>
      <c r="M54" s="3"/>
      <c r="N54" s="3">
        <v>0</v>
      </c>
      <c r="O54" s="3"/>
    </row>
    <row r="55" spans="3:15" x14ac:dyDescent="0.2">
      <c r="D55" t="s">
        <v>36</v>
      </c>
      <c r="F55" s="33">
        <v>600</v>
      </c>
      <c r="G55" s="3"/>
      <c r="H55" s="3"/>
      <c r="J55" s="3">
        <v>674</v>
      </c>
      <c r="K55" s="3"/>
      <c r="L55" s="3">
        <v>400</v>
      </c>
      <c r="M55" s="3"/>
      <c r="N55" s="3">
        <v>55</v>
      </c>
      <c r="O55" s="3"/>
    </row>
    <row r="56" spans="3:15" x14ac:dyDescent="0.2">
      <c r="C56" t="s">
        <v>37</v>
      </c>
      <c r="F56" s="3">
        <v>600</v>
      </c>
      <c r="G56" s="3"/>
      <c r="H56" s="3"/>
      <c r="J56" s="3">
        <v>600</v>
      </c>
      <c r="K56" s="3"/>
      <c r="L56" s="3">
        <v>700</v>
      </c>
      <c r="M56" s="3"/>
      <c r="N56" s="3">
        <v>0</v>
      </c>
      <c r="O56" s="3"/>
    </row>
    <row r="57" spans="3:15" x14ac:dyDescent="0.2">
      <c r="C57" t="s">
        <v>41</v>
      </c>
      <c r="F57" s="28">
        <v>1760</v>
      </c>
      <c r="G57" s="3"/>
      <c r="H57" s="3">
        <v>1697</v>
      </c>
      <c r="J57" s="9">
        <v>2200</v>
      </c>
      <c r="K57" s="3"/>
      <c r="L57" s="3">
        <v>1000</v>
      </c>
      <c r="M57" s="3"/>
      <c r="N57" s="3">
        <v>0</v>
      </c>
      <c r="O57" s="3"/>
    </row>
    <row r="58" spans="3:15" x14ac:dyDescent="0.2">
      <c r="D58" t="s">
        <v>42</v>
      </c>
      <c r="F58" s="3">
        <v>1760</v>
      </c>
      <c r="G58" s="3"/>
      <c r="H58" s="3">
        <v>151</v>
      </c>
      <c r="J58" s="9">
        <v>1000</v>
      </c>
      <c r="K58" s="3"/>
      <c r="L58" s="3">
        <v>1000</v>
      </c>
      <c r="M58" s="3"/>
      <c r="N58" s="3">
        <v>144</v>
      </c>
      <c r="O58" s="3"/>
    </row>
    <row r="59" spans="3:15" x14ac:dyDescent="0.2">
      <c r="C59" t="s">
        <v>110</v>
      </c>
      <c r="F59" s="8">
        <v>600</v>
      </c>
      <c r="G59" s="3"/>
      <c r="H59" s="3"/>
      <c r="J59" s="9">
        <v>2120</v>
      </c>
      <c r="K59" s="3"/>
      <c r="L59" s="3">
        <v>400</v>
      </c>
      <c r="M59" s="3"/>
      <c r="N59" s="3">
        <v>78</v>
      </c>
      <c r="O59" s="3"/>
    </row>
    <row r="60" spans="3:15" x14ac:dyDescent="0.2">
      <c r="C60" t="s">
        <v>39</v>
      </c>
      <c r="F60" s="31">
        <v>600</v>
      </c>
      <c r="G60" s="3"/>
      <c r="H60" s="3"/>
      <c r="J60" s="3">
        <v>600</v>
      </c>
      <c r="K60" s="3"/>
      <c r="L60" s="3">
        <v>400</v>
      </c>
      <c r="M60" s="3"/>
      <c r="N60" s="3">
        <v>35</v>
      </c>
      <c r="O60" s="3"/>
    </row>
    <row r="61" spans="3:15" x14ac:dyDescent="0.2">
      <c r="D61" t="s">
        <v>40</v>
      </c>
      <c r="F61" s="3">
        <v>600</v>
      </c>
      <c r="G61" s="3"/>
      <c r="H61" s="3">
        <v>255</v>
      </c>
      <c r="J61" s="3">
        <v>600</v>
      </c>
      <c r="K61" s="3"/>
      <c r="L61" s="3">
        <v>400</v>
      </c>
      <c r="M61" s="3"/>
      <c r="N61" s="3">
        <v>0</v>
      </c>
      <c r="O61" s="3"/>
    </row>
    <row r="62" spans="3:15" x14ac:dyDescent="0.2">
      <c r="C62" t="s">
        <v>119</v>
      </c>
      <c r="F62" s="31">
        <v>2200</v>
      </c>
      <c r="G62" s="3"/>
      <c r="H62" s="3">
        <v>1019</v>
      </c>
      <c r="J62" s="3">
        <v>600</v>
      </c>
      <c r="K62" s="3"/>
      <c r="L62" s="3">
        <v>400</v>
      </c>
      <c r="M62" s="3"/>
      <c r="N62" s="3">
        <v>0</v>
      </c>
      <c r="O62" s="3"/>
    </row>
    <row r="63" spans="3:15" x14ac:dyDescent="0.2">
      <c r="D63" t="s">
        <v>120</v>
      </c>
      <c r="F63" s="3">
        <v>600</v>
      </c>
      <c r="G63" s="3"/>
      <c r="H63" s="3">
        <v>60</v>
      </c>
      <c r="J63" s="3">
        <v>600</v>
      </c>
      <c r="K63" s="3"/>
      <c r="L63" s="3">
        <v>400</v>
      </c>
      <c r="M63" s="3"/>
      <c r="N63" s="3">
        <v>112</v>
      </c>
      <c r="O63" s="3"/>
    </row>
    <row r="64" spans="3:15" x14ac:dyDescent="0.2">
      <c r="C64" t="s">
        <v>45</v>
      </c>
      <c r="F64" s="8">
        <v>600</v>
      </c>
      <c r="G64" s="3"/>
      <c r="H64" s="3"/>
      <c r="J64" s="9">
        <v>1000</v>
      </c>
      <c r="K64" s="3"/>
      <c r="L64" s="3">
        <v>700</v>
      </c>
      <c r="M64" s="3"/>
      <c r="N64" s="3">
        <v>0</v>
      </c>
      <c r="O64" s="3"/>
    </row>
    <row r="65" spans="2:16" x14ac:dyDescent="0.2">
      <c r="D65" t="s">
        <v>46</v>
      </c>
      <c r="F65" s="21">
        <v>600</v>
      </c>
      <c r="G65" s="3"/>
      <c r="H65" s="3">
        <v>135</v>
      </c>
      <c r="J65" s="9">
        <v>600</v>
      </c>
      <c r="K65" s="3"/>
      <c r="L65" s="3">
        <v>2000</v>
      </c>
      <c r="M65" s="3"/>
      <c r="N65" s="3">
        <v>95</v>
      </c>
      <c r="O65" s="3"/>
    </row>
    <row r="66" spans="2:16" x14ac:dyDescent="0.2">
      <c r="C66" t="s">
        <v>121</v>
      </c>
      <c r="F66" s="8">
        <v>600</v>
      </c>
      <c r="G66" s="3"/>
      <c r="H66" s="3">
        <v>70</v>
      </c>
      <c r="J66" s="3">
        <v>800</v>
      </c>
      <c r="K66" s="3"/>
      <c r="L66" s="3">
        <v>400</v>
      </c>
      <c r="M66" s="3"/>
      <c r="N66" s="3">
        <v>0</v>
      </c>
      <c r="O66" s="3"/>
    </row>
    <row r="67" spans="2:16" x14ac:dyDescent="0.2">
      <c r="C67" t="s">
        <v>78</v>
      </c>
      <c r="F67" s="8">
        <v>600</v>
      </c>
      <c r="G67" s="3"/>
      <c r="H67" s="3"/>
      <c r="J67" s="9">
        <v>3600</v>
      </c>
      <c r="K67" s="3"/>
      <c r="L67" s="3">
        <v>0</v>
      </c>
      <c r="M67" s="3"/>
      <c r="N67" s="3"/>
      <c r="O67" s="3"/>
    </row>
    <row r="68" spans="2:16" x14ac:dyDescent="0.2">
      <c r="C68" t="s">
        <v>160</v>
      </c>
      <c r="F68" s="5">
        <v>600</v>
      </c>
      <c r="G68" s="3"/>
      <c r="H68" s="3"/>
      <c r="J68" s="9">
        <v>2000</v>
      </c>
      <c r="K68" s="3"/>
      <c r="L68" s="3">
        <v>500</v>
      </c>
      <c r="M68" s="3"/>
      <c r="N68" s="3">
        <v>0</v>
      </c>
      <c r="O68" s="3"/>
    </row>
    <row r="69" spans="2:16" x14ac:dyDescent="0.2">
      <c r="D69" t="s">
        <v>81</v>
      </c>
      <c r="F69" s="5">
        <v>4200</v>
      </c>
      <c r="G69" s="3"/>
      <c r="H69" s="3">
        <v>1441</v>
      </c>
      <c r="J69" s="9">
        <v>3000</v>
      </c>
      <c r="K69" s="3"/>
      <c r="L69" s="3">
        <v>4250</v>
      </c>
      <c r="M69" s="3"/>
      <c r="N69" s="3">
        <v>2021</v>
      </c>
      <c r="O69" s="3"/>
      <c r="P69" s="6"/>
    </row>
    <row r="70" spans="2:16" x14ac:dyDescent="0.2">
      <c r="C70" t="s">
        <v>122</v>
      </c>
      <c r="F70" s="32">
        <v>2500</v>
      </c>
      <c r="G70" s="3"/>
      <c r="H70" s="3">
        <v>1494</v>
      </c>
      <c r="J70" s="9">
        <v>600</v>
      </c>
      <c r="K70" s="3"/>
      <c r="L70" s="3">
        <v>1000</v>
      </c>
      <c r="M70" s="3"/>
      <c r="N70" s="3">
        <v>199</v>
      </c>
      <c r="O70" s="3"/>
    </row>
    <row r="71" spans="2:16" x14ac:dyDescent="0.2">
      <c r="D71" t="s">
        <v>123</v>
      </c>
      <c r="F71" s="3">
        <v>600</v>
      </c>
      <c r="G71" s="3"/>
      <c r="H71" s="3">
        <v>431</v>
      </c>
      <c r="J71" s="3">
        <v>600</v>
      </c>
      <c r="K71" s="3"/>
      <c r="L71" s="3">
        <v>400</v>
      </c>
      <c r="M71" s="3"/>
      <c r="N71" s="3">
        <v>0</v>
      </c>
      <c r="O71" s="3"/>
    </row>
    <row r="72" spans="2:16" x14ac:dyDescent="0.2">
      <c r="C72" t="s">
        <v>124</v>
      </c>
      <c r="F72" s="21">
        <v>600</v>
      </c>
      <c r="G72" s="3"/>
      <c r="H72" s="3"/>
      <c r="J72" s="9">
        <v>600</v>
      </c>
      <c r="K72" s="3"/>
      <c r="L72" s="3">
        <v>1500</v>
      </c>
      <c r="M72" s="3"/>
      <c r="N72" s="3">
        <v>0</v>
      </c>
      <c r="O72" s="3"/>
    </row>
    <row r="73" spans="2:16" x14ac:dyDescent="0.2">
      <c r="B73" t="s">
        <v>99</v>
      </c>
      <c r="F73" s="10">
        <f>SUM(F40:F72)</f>
        <v>38305</v>
      </c>
      <c r="G73" s="3"/>
      <c r="H73" s="3">
        <v>10378</v>
      </c>
      <c r="J73" s="10">
        <f>SUM(J40:J72)</f>
        <v>40994</v>
      </c>
      <c r="K73" s="3"/>
      <c r="L73" s="10">
        <f>SUM(L40:L72)</f>
        <v>34205</v>
      </c>
      <c r="M73" s="3"/>
      <c r="N73" s="10">
        <f>SUM(N40:N72)</f>
        <v>5288</v>
      </c>
      <c r="O73" s="3"/>
    </row>
    <row r="74" spans="2:16" ht="22.5" customHeight="1" x14ac:dyDescent="0.2">
      <c r="B74" t="s">
        <v>51</v>
      </c>
      <c r="F74" s="3"/>
      <c r="G74" s="3"/>
      <c r="H74" s="3"/>
      <c r="J74" s="3"/>
      <c r="K74" s="3"/>
      <c r="L74" s="3"/>
      <c r="M74" s="3"/>
      <c r="N74" s="3"/>
      <c r="O74" s="3"/>
    </row>
    <row r="75" spans="2:16" x14ac:dyDescent="0.2">
      <c r="C75" t="s">
        <v>125</v>
      </c>
      <c r="F75" s="28">
        <v>2700</v>
      </c>
      <c r="G75" s="3"/>
      <c r="H75" s="3">
        <v>2026.1</v>
      </c>
      <c r="J75" s="9">
        <v>2000</v>
      </c>
      <c r="K75" s="3"/>
      <c r="L75" s="3">
        <v>2000</v>
      </c>
      <c r="M75" s="3"/>
      <c r="N75" s="3">
        <v>29</v>
      </c>
      <c r="O75" s="3"/>
    </row>
    <row r="76" spans="2:16" x14ac:dyDescent="0.2">
      <c r="C76" t="s">
        <v>126</v>
      </c>
      <c r="F76" s="28">
        <v>1000</v>
      </c>
      <c r="G76" s="3"/>
      <c r="H76" s="3">
        <v>40</v>
      </c>
      <c r="J76" s="9">
        <v>1200</v>
      </c>
      <c r="K76" s="3"/>
      <c r="L76" s="3">
        <v>1200</v>
      </c>
      <c r="M76" s="3"/>
      <c r="N76" s="3">
        <v>397</v>
      </c>
      <c r="O76" s="3"/>
    </row>
    <row r="77" spans="2:16" x14ac:dyDescent="0.2">
      <c r="C77" t="s">
        <v>71</v>
      </c>
      <c r="F77" s="28">
        <v>6000</v>
      </c>
      <c r="G77" s="3"/>
      <c r="H77" s="3">
        <v>1129</v>
      </c>
      <c r="J77" s="9">
        <v>5800</v>
      </c>
      <c r="K77" s="3"/>
      <c r="L77" s="3">
        <v>5800</v>
      </c>
      <c r="M77" s="3"/>
      <c r="N77" s="3">
        <v>514</v>
      </c>
      <c r="O77" s="3"/>
    </row>
    <row r="78" spans="2:16" x14ac:dyDescent="0.2">
      <c r="C78" t="s">
        <v>127</v>
      </c>
      <c r="F78" s="29">
        <v>2000</v>
      </c>
      <c r="G78" s="3"/>
      <c r="H78" s="3">
        <v>75</v>
      </c>
      <c r="J78" s="9">
        <v>2500</v>
      </c>
      <c r="K78" s="3"/>
      <c r="L78" s="3">
        <v>1100</v>
      </c>
      <c r="M78" s="3"/>
      <c r="N78" s="3">
        <v>0</v>
      </c>
      <c r="O78" s="3"/>
    </row>
    <row r="79" spans="2:16" x14ac:dyDescent="0.2">
      <c r="C79" t="s">
        <v>56</v>
      </c>
      <c r="F79" s="28">
        <v>1500</v>
      </c>
      <c r="G79" s="3"/>
      <c r="H79" s="3">
        <v>191</v>
      </c>
      <c r="J79" s="9">
        <v>2133</v>
      </c>
      <c r="K79" s="3"/>
      <c r="L79" s="3">
        <v>1400</v>
      </c>
      <c r="M79" s="3"/>
      <c r="N79" s="3">
        <v>382</v>
      </c>
      <c r="O79" s="3"/>
    </row>
    <row r="80" spans="2:16" x14ac:dyDescent="0.2">
      <c r="C80" t="s">
        <v>57</v>
      </c>
      <c r="F80" s="28">
        <v>1700</v>
      </c>
      <c r="G80" s="3"/>
      <c r="H80" s="3">
        <v>140</v>
      </c>
      <c r="J80" s="9">
        <v>2200</v>
      </c>
      <c r="K80" s="3"/>
      <c r="L80" s="3">
        <v>2200</v>
      </c>
      <c r="M80" s="3"/>
      <c r="N80" s="3">
        <v>494</v>
      </c>
      <c r="O80" s="3"/>
    </row>
    <row r="81" spans="2:15" x14ac:dyDescent="0.2">
      <c r="C81" t="s">
        <v>128</v>
      </c>
      <c r="F81" s="28">
        <v>1600</v>
      </c>
      <c r="G81" s="3"/>
      <c r="H81" s="3">
        <v>409</v>
      </c>
      <c r="J81" s="9">
        <v>2200</v>
      </c>
      <c r="K81" s="3"/>
      <c r="L81" s="3">
        <v>2200</v>
      </c>
      <c r="M81" s="3"/>
      <c r="N81" s="3">
        <v>963</v>
      </c>
      <c r="O81" s="3"/>
    </row>
    <row r="82" spans="2:15" x14ac:dyDescent="0.2">
      <c r="B82" t="s">
        <v>100</v>
      </c>
      <c r="F82" s="10">
        <f>SUM(F74:F81)</f>
        <v>16500</v>
      </c>
      <c r="G82" s="3"/>
      <c r="H82" s="3">
        <v>4416</v>
      </c>
      <c r="J82" s="10">
        <f>SUM(J74:J81)</f>
        <v>18033</v>
      </c>
      <c r="K82" s="3"/>
      <c r="L82" s="10">
        <f>SUM(L74:L81)</f>
        <v>15900</v>
      </c>
      <c r="M82" s="3"/>
      <c r="N82" s="10">
        <f>SUM(N74:N81)</f>
        <v>2779</v>
      </c>
      <c r="O82" s="3"/>
    </row>
    <row r="83" spans="2:15" ht="22.5" customHeight="1" x14ac:dyDescent="0.2">
      <c r="B83" t="s">
        <v>148</v>
      </c>
      <c r="F83" s="3"/>
      <c r="G83" s="3"/>
      <c r="H83" s="3"/>
      <c r="J83" s="3"/>
      <c r="K83" s="3"/>
      <c r="L83" s="3"/>
      <c r="M83" s="3"/>
      <c r="N83" s="3"/>
      <c r="O83" s="3"/>
    </row>
    <row r="84" spans="2:15" x14ac:dyDescent="0.2">
      <c r="C84" t="s">
        <v>146</v>
      </c>
      <c r="F84" s="9">
        <v>15300</v>
      </c>
      <c r="H84" s="3">
        <v>5100</v>
      </c>
      <c r="J84" s="3">
        <v>14100</v>
      </c>
      <c r="K84" s="3"/>
      <c r="L84" s="3">
        <v>13000</v>
      </c>
      <c r="M84" s="3"/>
      <c r="N84" s="3">
        <v>9497</v>
      </c>
      <c r="O84" s="3"/>
    </row>
    <row r="85" spans="2:15" x14ac:dyDescent="0.2">
      <c r="C85" t="s">
        <v>79</v>
      </c>
      <c r="F85" s="3">
        <f>250*12</f>
        <v>3000</v>
      </c>
      <c r="G85" s="3"/>
      <c r="H85" s="3">
        <v>818</v>
      </c>
      <c r="J85" s="3">
        <v>3000</v>
      </c>
      <c r="K85" s="3"/>
      <c r="L85" s="3">
        <v>3000</v>
      </c>
      <c r="M85" s="3"/>
      <c r="N85" s="3">
        <v>2375</v>
      </c>
      <c r="O85" s="3"/>
    </row>
    <row r="86" spans="2:15" x14ac:dyDescent="0.2">
      <c r="C86" t="s">
        <v>182</v>
      </c>
      <c r="F86" s="8">
        <v>500</v>
      </c>
      <c r="G86" s="3"/>
      <c r="H86" s="3"/>
      <c r="J86" s="3">
        <v>500</v>
      </c>
      <c r="K86" s="3"/>
      <c r="L86" s="3"/>
      <c r="M86" s="3"/>
      <c r="N86" s="3"/>
      <c r="O86" s="3"/>
    </row>
    <row r="87" spans="2:15" x14ac:dyDescent="0.2">
      <c r="C87" t="s">
        <v>147</v>
      </c>
      <c r="F87" s="3">
        <f>2800+2500</f>
        <v>5300</v>
      </c>
      <c r="G87" s="3"/>
      <c r="H87" s="3">
        <v>1262</v>
      </c>
      <c r="J87" s="3">
        <v>5300</v>
      </c>
      <c r="K87" s="3"/>
      <c r="L87" s="3">
        <f>2800+2500</f>
        <v>5300</v>
      </c>
      <c r="M87" s="3"/>
      <c r="N87" s="3">
        <f>1563+1399</f>
        <v>2962</v>
      </c>
      <c r="O87" s="3"/>
    </row>
    <row r="88" spans="2:15" x14ac:dyDescent="0.2">
      <c r="C88" t="s">
        <v>129</v>
      </c>
      <c r="F88" s="9">
        <v>1500</v>
      </c>
      <c r="G88" s="3"/>
      <c r="H88" s="3"/>
      <c r="J88" s="9">
        <v>3000</v>
      </c>
      <c r="K88" s="3"/>
      <c r="L88" s="3">
        <v>1500</v>
      </c>
      <c r="M88" s="3"/>
      <c r="N88" s="3">
        <v>0</v>
      </c>
      <c r="O88" s="3"/>
    </row>
    <row r="89" spans="2:15" x14ac:dyDescent="0.2">
      <c r="B89" t="s">
        <v>114</v>
      </c>
      <c r="F89" s="10">
        <f>SUM(F83:F88)</f>
        <v>25600</v>
      </c>
      <c r="G89" s="3"/>
      <c r="H89" s="3">
        <v>7180</v>
      </c>
      <c r="J89" s="10">
        <f>SUM(J83:J88)</f>
        <v>25900</v>
      </c>
      <c r="K89" s="3"/>
      <c r="L89" s="10">
        <f>SUM(L83:L88)</f>
        <v>22800</v>
      </c>
      <c r="M89" s="3"/>
      <c r="N89" s="10">
        <f>SUM(N83:N88)</f>
        <v>14834</v>
      </c>
      <c r="O89" s="3"/>
    </row>
    <row r="90" spans="2:15" ht="22.5" customHeight="1" x14ac:dyDescent="0.2">
      <c r="B90" t="s">
        <v>136</v>
      </c>
      <c r="F90" s="3"/>
      <c r="G90" s="3"/>
      <c r="H90" s="3"/>
      <c r="J90" s="3"/>
      <c r="K90" s="3"/>
      <c r="L90" s="3"/>
      <c r="M90" s="3"/>
      <c r="N90" s="3"/>
      <c r="O90" s="3"/>
    </row>
    <row r="91" spans="2:15" x14ac:dyDescent="0.2">
      <c r="C91" t="s">
        <v>134</v>
      </c>
      <c r="F91" s="3">
        <v>0</v>
      </c>
      <c r="G91" s="3"/>
      <c r="H91" s="3"/>
      <c r="J91" s="3" t="s">
        <v>193</v>
      </c>
      <c r="K91" s="3"/>
      <c r="L91" s="3">
        <v>0</v>
      </c>
      <c r="M91" s="3"/>
      <c r="N91" s="3">
        <v>0</v>
      </c>
      <c r="O91" s="3"/>
    </row>
    <row r="92" spans="2:15" x14ac:dyDescent="0.2">
      <c r="C92" t="s">
        <v>135</v>
      </c>
      <c r="F92" s="3">
        <f>200+750</f>
        <v>950</v>
      </c>
      <c r="G92" s="3"/>
      <c r="H92" s="3">
        <v>200</v>
      </c>
      <c r="J92" s="3">
        <v>950</v>
      </c>
      <c r="K92" s="3"/>
      <c r="L92" s="3">
        <f>200+750-100</f>
        <v>850</v>
      </c>
      <c r="M92" s="3"/>
      <c r="N92" s="3">
        <v>703</v>
      </c>
      <c r="O92" s="3"/>
    </row>
    <row r="93" spans="2:15" x14ac:dyDescent="0.2">
      <c r="C93" t="s">
        <v>132</v>
      </c>
      <c r="F93" s="9">
        <v>4000</v>
      </c>
      <c r="G93" s="3"/>
      <c r="H93" s="3">
        <v>1926</v>
      </c>
      <c r="J93" s="9">
        <v>2000</v>
      </c>
      <c r="K93" s="3"/>
      <c r="L93" s="3">
        <v>2000</v>
      </c>
      <c r="M93" s="3"/>
      <c r="N93" s="3">
        <v>0</v>
      </c>
      <c r="O93" s="3"/>
    </row>
    <row r="94" spans="2:15" x14ac:dyDescent="0.2">
      <c r="C94" t="s">
        <v>137</v>
      </c>
      <c r="F94" s="9">
        <v>1200</v>
      </c>
      <c r="G94" s="3"/>
      <c r="H94" s="3">
        <v>108</v>
      </c>
      <c r="J94" s="9">
        <v>1200</v>
      </c>
      <c r="K94" s="3"/>
      <c r="L94" s="3">
        <v>0</v>
      </c>
      <c r="M94" s="3"/>
      <c r="N94" s="3">
        <v>0</v>
      </c>
      <c r="O94" s="3"/>
    </row>
    <row r="95" spans="2:15" x14ac:dyDescent="0.2">
      <c r="C95" t="s">
        <v>138</v>
      </c>
      <c r="F95" s="3">
        <v>200</v>
      </c>
      <c r="G95" s="3"/>
      <c r="H95" s="3"/>
      <c r="J95" s="3">
        <v>200</v>
      </c>
      <c r="K95" s="3"/>
      <c r="L95" s="3">
        <v>100</v>
      </c>
      <c r="M95" s="3"/>
      <c r="N95" s="3">
        <v>0</v>
      </c>
      <c r="O95" s="3"/>
    </row>
    <row r="96" spans="2:15" x14ac:dyDescent="0.2">
      <c r="B96" t="s">
        <v>133</v>
      </c>
      <c r="C96" s="2"/>
      <c r="F96" s="10">
        <f>SUM(F90:F95)</f>
        <v>6350</v>
      </c>
      <c r="G96" s="3"/>
      <c r="H96" s="3">
        <v>2234</v>
      </c>
      <c r="J96" s="10">
        <f>SUM(J90:J95)</f>
        <v>4350</v>
      </c>
      <c r="K96" s="3"/>
      <c r="L96" s="10">
        <f>SUM(L90:L95)</f>
        <v>2950</v>
      </c>
      <c r="M96" s="3"/>
      <c r="N96" s="10">
        <f>SUM(N90:N95)</f>
        <v>703</v>
      </c>
      <c r="O96" s="3"/>
    </row>
    <row r="97" spans="1:15" ht="22.5" customHeight="1" x14ac:dyDescent="0.2">
      <c r="B97" t="s">
        <v>140</v>
      </c>
      <c r="F97" s="3">
        <v>3200</v>
      </c>
      <c r="G97" s="3"/>
      <c r="H97" s="3">
        <v>3200</v>
      </c>
      <c r="J97" s="3"/>
      <c r="K97" s="3"/>
      <c r="L97" s="3">
        <v>8200</v>
      </c>
      <c r="M97" s="3"/>
      <c r="N97" s="3">
        <v>3200</v>
      </c>
      <c r="O97" s="3"/>
    </row>
    <row r="98" spans="1:15" ht="22.5" customHeight="1" x14ac:dyDescent="0.2">
      <c r="B98" t="s">
        <v>141</v>
      </c>
      <c r="F98" s="5">
        <v>2500</v>
      </c>
      <c r="G98" s="3"/>
      <c r="H98" s="3">
        <v>511</v>
      </c>
      <c r="J98" s="3"/>
      <c r="K98" s="3"/>
      <c r="L98" s="3">
        <v>0</v>
      </c>
      <c r="M98" s="3"/>
      <c r="N98" s="3">
        <v>0</v>
      </c>
      <c r="O98" s="3"/>
    </row>
    <row r="99" spans="1:15" ht="22.5" customHeight="1" x14ac:dyDescent="0.2">
      <c r="B99" t="s">
        <v>142</v>
      </c>
      <c r="F99" s="3"/>
      <c r="G99" s="3"/>
      <c r="H99" s="3"/>
      <c r="J99" s="3"/>
      <c r="K99" s="3"/>
      <c r="L99" s="3"/>
      <c r="M99" s="3"/>
      <c r="N99" s="3"/>
      <c r="O99" s="3"/>
    </row>
    <row r="100" spans="1:15" x14ac:dyDescent="0.2">
      <c r="C100" t="s">
        <v>183</v>
      </c>
      <c r="F100" s="3">
        <v>500</v>
      </c>
      <c r="G100" s="3"/>
      <c r="H100" s="3">
        <v>614</v>
      </c>
      <c r="J100" s="3">
        <v>500</v>
      </c>
      <c r="K100" s="3"/>
      <c r="L100" s="3"/>
      <c r="M100" s="3"/>
      <c r="N100" s="3"/>
      <c r="O100" s="3"/>
    </row>
    <row r="101" spans="1:15" x14ac:dyDescent="0.2">
      <c r="C101" t="s">
        <v>71</v>
      </c>
      <c r="F101" s="3">
        <v>1500</v>
      </c>
      <c r="G101" s="3"/>
      <c r="H101" s="3">
        <v>1725</v>
      </c>
      <c r="J101" s="3">
        <v>1500</v>
      </c>
      <c r="K101" s="3"/>
      <c r="L101" s="3">
        <v>0</v>
      </c>
      <c r="M101" s="3"/>
      <c r="N101" s="3">
        <v>932</v>
      </c>
      <c r="O101" s="3"/>
    </row>
    <row r="102" spans="1:15" x14ac:dyDescent="0.2">
      <c r="C102" t="s">
        <v>139</v>
      </c>
      <c r="F102" s="3">
        <v>3000</v>
      </c>
      <c r="G102" s="3"/>
      <c r="H102" s="3">
        <v>2972</v>
      </c>
      <c r="J102" s="3">
        <v>3000</v>
      </c>
      <c r="K102" s="3"/>
      <c r="L102" s="3">
        <v>0</v>
      </c>
      <c r="M102" s="3"/>
      <c r="N102" s="3">
        <v>2350</v>
      </c>
      <c r="O102" s="3"/>
    </row>
    <row r="103" spans="1:15" x14ac:dyDescent="0.2">
      <c r="C103" t="s">
        <v>186</v>
      </c>
      <c r="F103" s="9">
        <v>5000</v>
      </c>
      <c r="G103" s="3"/>
      <c r="H103" s="3">
        <v>4244</v>
      </c>
      <c r="J103" s="3">
        <v>5000</v>
      </c>
      <c r="K103" s="3"/>
      <c r="L103" s="3">
        <v>0</v>
      </c>
      <c r="M103" s="3"/>
      <c r="N103" s="3">
        <v>0</v>
      </c>
      <c r="O103" s="3"/>
    </row>
    <row r="104" spans="1:15" x14ac:dyDescent="0.2">
      <c r="B104" t="s">
        <v>154</v>
      </c>
      <c r="C104" s="2"/>
      <c r="F104" s="10">
        <f>SUM(F99:F103)</f>
        <v>10000</v>
      </c>
      <c r="G104" s="3"/>
      <c r="H104" s="3">
        <v>9555</v>
      </c>
      <c r="J104" s="10">
        <f>SUM(J99:J103)</f>
        <v>10000</v>
      </c>
      <c r="K104" s="3"/>
      <c r="L104" s="10">
        <f>SUM(L99:L103)</f>
        <v>0</v>
      </c>
      <c r="M104" s="3"/>
      <c r="N104" s="10">
        <f>SUM(N99:N103)</f>
        <v>3282</v>
      </c>
      <c r="O104" s="3"/>
    </row>
    <row r="105" spans="1:15" ht="22.5" customHeight="1" x14ac:dyDescent="0.2">
      <c r="A105" s="11" t="s">
        <v>80</v>
      </c>
      <c r="F105" s="7">
        <f>F38+F73+F82+F89+SUM(F96:F98)+F104</f>
        <v>140167</v>
      </c>
      <c r="G105" s="3"/>
      <c r="H105" s="3">
        <v>50545</v>
      </c>
      <c r="J105" s="7">
        <f>J38+J73+J82+J89+SUM(J96:J98)+J104</f>
        <v>146077</v>
      </c>
      <c r="K105" s="3"/>
      <c r="L105" s="7">
        <f>L38+L73+L82+L89+SUM(L96:L98)+L104</f>
        <v>125455</v>
      </c>
      <c r="M105" s="3"/>
      <c r="N105" s="7">
        <f>N38+N73+N82+N89+SUM(N96:N98)+N104</f>
        <v>36313</v>
      </c>
      <c r="O105" s="3"/>
    </row>
    <row r="106" spans="1:15" x14ac:dyDescent="0.2">
      <c r="F106" s="22">
        <f>G109</f>
        <v>0</v>
      </c>
      <c r="G106" s="3"/>
      <c r="H106" s="3">
        <v>-13723</v>
      </c>
      <c r="J106" s="22">
        <f>ROUND(J105-156737+4960-2500+5000-2000,2)</f>
        <v>-5200</v>
      </c>
      <c r="K106" s="3"/>
      <c r="L106" s="5">
        <f>L105-117655</f>
        <v>7800</v>
      </c>
      <c r="M106" s="3"/>
      <c r="N106" s="3"/>
      <c r="O106" s="3"/>
    </row>
    <row r="107" spans="1:15" ht="16" thickBot="1" x14ac:dyDescent="0.25">
      <c r="C107" s="11" t="s">
        <v>82</v>
      </c>
      <c r="F107" s="13">
        <f>F13-F105</f>
        <v>-30167</v>
      </c>
      <c r="G107" s="3"/>
      <c r="J107" s="13">
        <f>J13-J105</f>
        <v>2259.4199999999837</v>
      </c>
      <c r="K107" s="3"/>
      <c r="L107" s="13">
        <f>L13-L105</f>
        <v>-6651</v>
      </c>
      <c r="N107" s="13">
        <f>N13-N105</f>
        <v>62347</v>
      </c>
    </row>
    <row r="108" spans="1:15" ht="16" thickTop="1" x14ac:dyDescent="0.2">
      <c r="F108" s="22"/>
      <c r="J108" s="22"/>
      <c r="L108" s="17">
        <f>ROUND(L107-1149,2)</f>
        <v>-7800</v>
      </c>
      <c r="N108" s="17">
        <f>ROUND(N107-62890,2)</f>
        <v>-543</v>
      </c>
    </row>
  </sheetData>
  <pageMargins left="0.45" right="0.25" top="0.7" bottom="0.6" header="0.3" footer="0.3"/>
  <pageSetup scale="96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9"/>
  <sheetViews>
    <sheetView zoomScaleNormal="100" workbookViewId="0">
      <pane ySplit="3" topLeftCell="A79" activePane="bottomLeft" state="frozen"/>
      <selection pane="bottomLeft" activeCell="H71" sqref="H71"/>
    </sheetView>
  </sheetViews>
  <sheetFormatPr baseColWidth="10" defaultColWidth="8.83203125" defaultRowHeight="15" x14ac:dyDescent="0.2"/>
  <cols>
    <col min="1" max="3" width="2.6640625" customWidth="1"/>
    <col min="4" max="4" width="39.5" customWidth="1"/>
    <col min="5" max="5" width="2.6640625" customWidth="1"/>
    <col min="6" max="6" width="10.5" bestFit="1" customWidth="1"/>
    <col min="7" max="7" width="2.6640625" customWidth="1"/>
    <col min="8" max="8" width="10.5" bestFit="1" customWidth="1"/>
    <col min="9" max="9" width="2.6640625" customWidth="1"/>
    <col min="10" max="10" width="11.5" bestFit="1" customWidth="1"/>
    <col min="11" max="11" width="2.6640625" customWidth="1"/>
    <col min="12" max="12" width="10.5" bestFit="1" customWidth="1"/>
    <col min="13" max="13" width="2.6640625" customWidth="1"/>
    <col min="14" max="14" width="10.5" bestFit="1" customWidth="1"/>
  </cols>
  <sheetData>
    <row r="1" spans="1:14" ht="16" x14ac:dyDescent="0.2">
      <c r="A1" s="12" t="s">
        <v>168</v>
      </c>
    </row>
    <row r="2" spans="1:14" x14ac:dyDescent="0.2">
      <c r="E2" s="15"/>
      <c r="F2" s="23" t="s">
        <v>102</v>
      </c>
      <c r="G2" s="15"/>
      <c r="H2" s="37" t="s">
        <v>172</v>
      </c>
      <c r="I2" s="38"/>
      <c r="J2" s="38"/>
      <c r="K2" s="38"/>
      <c r="L2" s="38"/>
      <c r="M2" s="38"/>
      <c r="N2" s="39"/>
    </row>
    <row r="3" spans="1:14" x14ac:dyDescent="0.2">
      <c r="E3" s="15"/>
      <c r="F3" s="25" t="s">
        <v>167</v>
      </c>
      <c r="G3" s="24"/>
      <c r="H3" s="25" t="s">
        <v>166</v>
      </c>
      <c r="I3" s="24"/>
      <c r="J3" s="25" t="s">
        <v>165</v>
      </c>
      <c r="K3" s="24"/>
      <c r="L3" s="25" t="s">
        <v>104</v>
      </c>
      <c r="M3" s="24"/>
      <c r="N3" s="25" t="s">
        <v>169</v>
      </c>
    </row>
    <row r="4" spans="1:14" x14ac:dyDescent="0.2">
      <c r="A4" t="s">
        <v>157</v>
      </c>
    </row>
    <row r="5" spans="1:14" x14ac:dyDescent="0.2">
      <c r="B5" t="s">
        <v>85</v>
      </c>
      <c r="F5" s="3">
        <v>1500</v>
      </c>
      <c r="G5" s="3"/>
      <c r="H5" s="9">
        <v>2189</v>
      </c>
      <c r="J5" s="9">
        <v>242</v>
      </c>
      <c r="K5" s="3"/>
      <c r="L5" s="3">
        <v>2406</v>
      </c>
      <c r="M5" s="3"/>
      <c r="N5" s="9"/>
    </row>
    <row r="6" spans="1:14" x14ac:dyDescent="0.2">
      <c r="B6" t="s">
        <v>84</v>
      </c>
      <c r="F6" s="3">
        <v>1200</v>
      </c>
      <c r="G6" s="3"/>
      <c r="H6" s="9">
        <v>810</v>
      </c>
      <c r="J6" s="9">
        <v>1277</v>
      </c>
      <c r="K6" s="3"/>
      <c r="L6" s="3">
        <v>1243</v>
      </c>
      <c r="M6" s="3"/>
      <c r="N6" s="9"/>
    </row>
    <row r="7" spans="1:14" x14ac:dyDescent="0.2">
      <c r="B7" t="s">
        <v>86</v>
      </c>
      <c r="F7" s="3">
        <v>90000</v>
      </c>
      <c r="G7" s="3"/>
      <c r="H7" s="9">
        <v>88547</v>
      </c>
      <c r="J7" s="9">
        <v>78124</v>
      </c>
      <c r="K7" s="3"/>
      <c r="L7" s="3">
        <v>46125</v>
      </c>
      <c r="M7" s="3"/>
      <c r="N7" s="9"/>
    </row>
    <row r="8" spans="1:14" x14ac:dyDescent="0.2">
      <c r="B8" t="s">
        <v>4</v>
      </c>
      <c r="F8" s="3">
        <v>2000</v>
      </c>
      <c r="G8" s="3"/>
      <c r="H8" s="9">
        <v>1340</v>
      </c>
      <c r="J8" s="9">
        <v>2425</v>
      </c>
      <c r="K8" s="3"/>
      <c r="L8" s="3">
        <v>1410</v>
      </c>
      <c r="M8" s="3"/>
      <c r="N8" s="9"/>
    </row>
    <row r="9" spans="1:14" x14ac:dyDescent="0.2">
      <c r="B9" t="s">
        <v>96</v>
      </c>
      <c r="F9" s="3">
        <v>4800</v>
      </c>
      <c r="G9" s="3"/>
      <c r="H9" s="9">
        <v>5183</v>
      </c>
      <c r="J9" s="9">
        <v>1625</v>
      </c>
      <c r="K9" s="3"/>
      <c r="L9" s="3">
        <v>1223</v>
      </c>
      <c r="M9" s="3"/>
      <c r="N9" s="9"/>
    </row>
    <row r="10" spans="1:14" x14ac:dyDescent="0.2">
      <c r="B10" t="s">
        <v>101</v>
      </c>
      <c r="F10" s="3">
        <v>0</v>
      </c>
      <c r="G10" s="3"/>
      <c r="H10" s="5">
        <f>793+76</f>
        <v>869</v>
      </c>
      <c r="J10" s="3">
        <v>1</v>
      </c>
      <c r="K10" s="3"/>
      <c r="L10" s="3">
        <v>0</v>
      </c>
      <c r="M10" s="3"/>
      <c r="N10" s="3"/>
    </row>
    <row r="11" spans="1:14" x14ac:dyDescent="0.2">
      <c r="A11" t="s">
        <v>87</v>
      </c>
      <c r="F11" s="4">
        <f>SUM(F5:F10)</f>
        <v>99500</v>
      </c>
      <c r="G11" s="3"/>
      <c r="H11" s="4">
        <f>SUM(H5:H10)</f>
        <v>98938</v>
      </c>
      <c r="J11" s="4">
        <f>SUM(J5:J10)</f>
        <v>83694</v>
      </c>
      <c r="K11" s="3"/>
      <c r="L11" s="4">
        <f>SUM(L5:L10)</f>
        <v>52407</v>
      </c>
      <c r="M11" s="3"/>
      <c r="N11" s="4">
        <f>SUM(N5:N10)</f>
        <v>0</v>
      </c>
    </row>
    <row r="12" spans="1:14" ht="22.5" customHeight="1" x14ac:dyDescent="0.2">
      <c r="A12" t="s">
        <v>88</v>
      </c>
      <c r="F12" s="9">
        <v>60877</v>
      </c>
      <c r="G12" s="3"/>
      <c r="H12" s="5">
        <v>48604</v>
      </c>
      <c r="J12" s="9">
        <v>48604</v>
      </c>
      <c r="K12" s="3"/>
      <c r="L12" s="3">
        <v>46253</v>
      </c>
      <c r="M12" s="3"/>
      <c r="N12" s="3"/>
    </row>
    <row r="13" spans="1:14" ht="22.5" customHeight="1" x14ac:dyDescent="0.2">
      <c r="B13" s="11" t="s">
        <v>177</v>
      </c>
      <c r="F13" s="14">
        <f>SUM(F11:F12)</f>
        <v>160377</v>
      </c>
      <c r="G13" s="3"/>
      <c r="H13" s="14">
        <f>SUM(H11:H12)</f>
        <v>147542</v>
      </c>
      <c r="J13" s="14">
        <f>SUM(J11:J12)</f>
        <v>132298</v>
      </c>
      <c r="K13" s="3"/>
      <c r="L13" s="14">
        <f>SUM(L11:L12)</f>
        <v>98660</v>
      </c>
      <c r="M13" s="3"/>
      <c r="N13" s="14">
        <f>SUM(N11:N12)</f>
        <v>0</v>
      </c>
    </row>
    <row r="14" spans="1:14" x14ac:dyDescent="0.2">
      <c r="F14" s="3"/>
      <c r="G14" s="3"/>
      <c r="H14" s="3"/>
      <c r="J14" s="5">
        <f>J13-132298</f>
        <v>0</v>
      </c>
      <c r="K14" s="3"/>
      <c r="L14" s="3"/>
      <c r="M14" s="3"/>
      <c r="N14" s="3"/>
    </row>
    <row r="15" spans="1:14" x14ac:dyDescent="0.2">
      <c r="A15" t="s">
        <v>156</v>
      </c>
      <c r="F15" s="3"/>
      <c r="G15" s="3"/>
      <c r="H15" s="3"/>
    </row>
    <row r="16" spans="1:14" x14ac:dyDescent="0.2">
      <c r="B16" t="s">
        <v>179</v>
      </c>
      <c r="F16" s="3">
        <v>500</v>
      </c>
      <c r="G16" s="3"/>
      <c r="H16" s="3">
        <v>457</v>
      </c>
      <c r="J16" s="9">
        <v>0</v>
      </c>
      <c r="K16" s="3"/>
      <c r="L16" s="3">
        <v>0</v>
      </c>
      <c r="M16" s="3"/>
      <c r="N16" s="3">
        <v>0</v>
      </c>
    </row>
    <row r="17" spans="2:15" ht="22.5" customHeight="1" x14ac:dyDescent="0.2">
      <c r="B17" t="s">
        <v>83</v>
      </c>
      <c r="C17" s="2"/>
      <c r="F17" s="3"/>
      <c r="G17" s="3"/>
      <c r="H17" s="3"/>
      <c r="J17" s="9"/>
      <c r="K17" s="3"/>
      <c r="L17" s="3"/>
      <c r="M17" s="3"/>
      <c r="N17" s="3"/>
    </row>
    <row r="18" spans="2:15" x14ac:dyDescent="0.2">
      <c r="C18" t="s">
        <v>145</v>
      </c>
      <c r="F18" s="9">
        <v>18000</v>
      </c>
      <c r="G18" s="3"/>
      <c r="H18" s="3">
        <v>21593</v>
      </c>
      <c r="J18" s="9">
        <v>6840</v>
      </c>
      <c r="K18" s="3"/>
      <c r="L18" s="3">
        <v>3443</v>
      </c>
      <c r="M18" s="3"/>
      <c r="N18" s="3"/>
    </row>
    <row r="19" spans="2:15" x14ac:dyDescent="0.2">
      <c r="C19" t="s">
        <v>180</v>
      </c>
      <c r="F19" s="9">
        <f>3600</f>
        <v>3600</v>
      </c>
      <c r="G19" s="3"/>
      <c r="H19" s="3">
        <v>2457</v>
      </c>
      <c r="J19" s="9">
        <v>1572</v>
      </c>
      <c r="K19" s="3"/>
      <c r="L19" s="3">
        <v>490</v>
      </c>
      <c r="M19" s="3"/>
      <c r="N19" s="3"/>
    </row>
    <row r="20" spans="2:15" x14ac:dyDescent="0.2">
      <c r="C20" t="s">
        <v>108</v>
      </c>
      <c r="F20" s="3">
        <v>2000</v>
      </c>
      <c r="G20" s="3"/>
      <c r="H20" s="3">
        <v>1827</v>
      </c>
      <c r="J20" s="9">
        <v>0</v>
      </c>
      <c r="K20" s="3"/>
      <c r="L20" s="3">
        <v>0</v>
      </c>
      <c r="M20" s="3"/>
      <c r="N20" s="3">
        <v>0</v>
      </c>
    </row>
    <row r="21" spans="2:15" x14ac:dyDescent="0.2">
      <c r="C21" t="s">
        <v>144</v>
      </c>
      <c r="F21" s="3">
        <v>2000</v>
      </c>
      <c r="G21" s="3"/>
      <c r="H21" s="3">
        <v>2249</v>
      </c>
      <c r="J21" s="9">
        <v>0</v>
      </c>
      <c r="K21" s="3"/>
      <c r="L21" s="3">
        <v>0</v>
      </c>
      <c r="M21" s="3"/>
      <c r="N21" s="3">
        <v>0</v>
      </c>
    </row>
    <row r="22" spans="2:15" x14ac:dyDescent="0.2">
      <c r="C22" t="s">
        <v>143</v>
      </c>
      <c r="F22" s="3">
        <v>2000</v>
      </c>
      <c r="G22" s="3"/>
      <c r="H22" s="3">
        <v>0</v>
      </c>
      <c r="J22" s="9">
        <v>3308</v>
      </c>
      <c r="K22" s="3"/>
      <c r="L22" s="3">
        <v>0</v>
      </c>
      <c r="M22" s="3"/>
      <c r="N22" s="3">
        <v>0</v>
      </c>
      <c r="O22" s="6"/>
    </row>
    <row r="23" spans="2:15" x14ac:dyDescent="0.2">
      <c r="C23" t="s">
        <v>149</v>
      </c>
      <c r="F23" s="3">
        <v>2000</v>
      </c>
      <c r="G23" s="3"/>
      <c r="H23" s="3">
        <v>2000</v>
      </c>
      <c r="J23" s="9">
        <v>1667</v>
      </c>
      <c r="K23" s="3"/>
      <c r="L23" s="3">
        <v>0</v>
      </c>
      <c r="M23" s="3"/>
      <c r="N23" s="3">
        <v>0</v>
      </c>
    </row>
    <row r="24" spans="2:15" x14ac:dyDescent="0.2">
      <c r="C24" t="s">
        <v>92</v>
      </c>
      <c r="F24" s="3">
        <v>500</v>
      </c>
      <c r="G24" s="3"/>
      <c r="H24" s="3">
        <v>575</v>
      </c>
      <c r="J24" s="9">
        <v>0</v>
      </c>
      <c r="K24" s="3"/>
      <c r="L24" s="3">
        <v>7</v>
      </c>
      <c r="M24" s="3"/>
      <c r="N24" s="3"/>
    </row>
    <row r="25" spans="2:15" x14ac:dyDescent="0.2">
      <c r="B25" t="s">
        <v>68</v>
      </c>
      <c r="F25" s="3">
        <v>600</v>
      </c>
      <c r="G25" s="3"/>
      <c r="H25" s="9">
        <v>600</v>
      </c>
      <c r="J25" s="9">
        <v>746</v>
      </c>
      <c r="K25" s="3"/>
      <c r="L25" s="3">
        <v>0</v>
      </c>
      <c r="M25" s="3"/>
      <c r="N25" s="3">
        <v>0</v>
      </c>
    </row>
    <row r="26" spans="2:15" x14ac:dyDescent="0.2">
      <c r="B26" s="2" t="s">
        <v>171</v>
      </c>
      <c r="F26" s="9">
        <v>5000</v>
      </c>
      <c r="G26" s="3"/>
      <c r="H26" s="5">
        <f>8778+164</f>
        <v>8942</v>
      </c>
      <c r="J26" s="9">
        <v>5137</v>
      </c>
      <c r="K26" s="3"/>
      <c r="L26" s="3">
        <v>1586</v>
      </c>
      <c r="M26" s="3"/>
      <c r="N26" s="3"/>
    </row>
    <row r="27" spans="2:15" x14ac:dyDescent="0.2">
      <c r="B27" s="2"/>
      <c r="C27" t="s">
        <v>170</v>
      </c>
      <c r="F27" s="9">
        <v>5000</v>
      </c>
      <c r="G27" s="3"/>
      <c r="H27" s="5">
        <v>0</v>
      </c>
      <c r="J27" s="3"/>
      <c r="K27" s="3"/>
      <c r="L27" s="3"/>
      <c r="M27" s="3"/>
      <c r="N27" s="3"/>
    </row>
    <row r="28" spans="2:15" x14ac:dyDescent="0.2">
      <c r="B28" t="s">
        <v>91</v>
      </c>
      <c r="F28" s="3">
        <v>0</v>
      </c>
      <c r="G28" s="3"/>
      <c r="H28" s="3">
        <v>294</v>
      </c>
      <c r="J28" s="3">
        <v>0</v>
      </c>
      <c r="K28" s="3"/>
      <c r="L28" s="3">
        <v>158</v>
      </c>
      <c r="M28" s="3"/>
      <c r="N28" s="3">
        <v>0</v>
      </c>
    </row>
    <row r="29" spans="2:15" x14ac:dyDescent="0.2">
      <c r="B29" t="s">
        <v>94</v>
      </c>
      <c r="F29" s="3">
        <v>0</v>
      </c>
      <c r="G29" s="3"/>
      <c r="H29" s="3">
        <f>2310+867</f>
        <v>3177</v>
      </c>
      <c r="J29" s="3">
        <v>0</v>
      </c>
      <c r="K29" s="3"/>
      <c r="L29" s="3">
        <v>0</v>
      </c>
      <c r="M29" s="3"/>
      <c r="N29" s="3">
        <v>0</v>
      </c>
    </row>
    <row r="30" spans="2:15" x14ac:dyDescent="0.2">
      <c r="B30" t="s">
        <v>93</v>
      </c>
      <c r="F30" s="9">
        <v>1200</v>
      </c>
      <c r="G30" s="3"/>
      <c r="H30" s="9">
        <v>0</v>
      </c>
      <c r="J30" s="9">
        <v>355</v>
      </c>
      <c r="K30" s="3"/>
      <c r="L30" s="3">
        <v>0</v>
      </c>
      <c r="M30" s="3"/>
      <c r="N30" s="3">
        <v>0</v>
      </c>
    </row>
    <row r="31" spans="2:15" ht="22.5" customHeight="1" x14ac:dyDescent="0.2">
      <c r="B31" t="s">
        <v>98</v>
      </c>
      <c r="F31" s="10">
        <f>SUM(F16:F30)</f>
        <v>42400</v>
      </c>
      <c r="G31" s="3"/>
      <c r="H31" s="10">
        <f>SUM(H16:H30)</f>
        <v>44171</v>
      </c>
      <c r="J31" s="10">
        <f>SUM(J16:J30)</f>
        <v>19625</v>
      </c>
      <c r="K31" s="3"/>
      <c r="L31" s="10">
        <f>SUM(L16:L30)</f>
        <v>5684</v>
      </c>
      <c r="M31" s="3"/>
      <c r="N31" s="10">
        <f>SUM(N16:N30)</f>
        <v>0</v>
      </c>
    </row>
    <row r="32" spans="2:15" x14ac:dyDescent="0.2">
      <c r="F32" s="3">
        <f>F31-42400</f>
        <v>0</v>
      </c>
      <c r="G32" s="3"/>
      <c r="H32" s="5">
        <f>H31-31158-600-8778-(2310+867)-294-164</f>
        <v>0</v>
      </c>
      <c r="J32" s="3"/>
      <c r="K32" s="3"/>
      <c r="L32" s="3"/>
      <c r="M32" s="3"/>
      <c r="N32" s="3"/>
    </row>
    <row r="33" spans="2:14" x14ac:dyDescent="0.2">
      <c r="B33" t="s">
        <v>97</v>
      </c>
      <c r="F33" s="3"/>
      <c r="G33" s="3"/>
      <c r="H33" s="3"/>
      <c r="J33" s="3"/>
      <c r="K33" s="3"/>
      <c r="L33" s="3"/>
      <c r="M33" s="3"/>
      <c r="N33" s="3"/>
    </row>
    <row r="34" spans="2:14" x14ac:dyDescent="0.2">
      <c r="C34" t="s">
        <v>24</v>
      </c>
      <c r="F34" s="3">
        <v>600</v>
      </c>
      <c r="G34" s="3"/>
      <c r="H34" s="3">
        <v>0</v>
      </c>
      <c r="J34" s="9"/>
      <c r="K34" s="3"/>
      <c r="L34" s="3">
        <v>0</v>
      </c>
      <c r="M34" s="3"/>
      <c r="N34" s="3">
        <v>0</v>
      </c>
    </row>
    <row r="35" spans="2:14" x14ac:dyDescent="0.2">
      <c r="D35" t="s">
        <v>130</v>
      </c>
      <c r="F35" s="3">
        <v>600</v>
      </c>
      <c r="G35" s="3"/>
      <c r="H35" s="3">
        <v>0</v>
      </c>
      <c r="J35" s="9"/>
      <c r="K35" s="3"/>
      <c r="L35" s="3">
        <v>0</v>
      </c>
      <c r="M35" s="3"/>
      <c r="N35" s="3">
        <v>0</v>
      </c>
    </row>
    <row r="36" spans="2:14" x14ac:dyDescent="0.2">
      <c r="C36" t="s">
        <v>181</v>
      </c>
      <c r="F36" s="3">
        <v>150</v>
      </c>
      <c r="G36" s="3"/>
      <c r="H36" s="3">
        <v>0</v>
      </c>
      <c r="J36" s="3"/>
      <c r="K36" s="3"/>
      <c r="L36" s="3">
        <v>0</v>
      </c>
      <c r="M36" s="3"/>
      <c r="N36" s="3">
        <v>0</v>
      </c>
    </row>
    <row r="37" spans="2:14" x14ac:dyDescent="0.2">
      <c r="C37" t="s">
        <v>111</v>
      </c>
      <c r="F37" s="9">
        <v>4420</v>
      </c>
      <c r="G37" s="3"/>
      <c r="H37" s="3">
        <v>5079</v>
      </c>
      <c r="J37" s="3">
        <v>2309</v>
      </c>
      <c r="K37" s="3"/>
      <c r="L37" s="3">
        <v>1696</v>
      </c>
      <c r="M37" s="3"/>
      <c r="N37" s="3">
        <v>0</v>
      </c>
    </row>
    <row r="38" spans="2:14" x14ac:dyDescent="0.2">
      <c r="C38" t="s">
        <v>112</v>
      </c>
      <c r="F38" s="3">
        <v>150</v>
      </c>
      <c r="G38" s="3"/>
      <c r="H38" s="3">
        <v>0</v>
      </c>
      <c r="J38" s="3"/>
      <c r="K38" s="3"/>
      <c r="L38" s="3">
        <v>0</v>
      </c>
      <c r="M38" s="3"/>
      <c r="N38" s="3">
        <v>0</v>
      </c>
    </row>
    <row r="39" spans="2:14" x14ac:dyDescent="0.2">
      <c r="C39" t="s">
        <v>113</v>
      </c>
      <c r="F39" s="9">
        <v>1200</v>
      </c>
      <c r="G39" s="3"/>
      <c r="H39" s="3">
        <v>596</v>
      </c>
      <c r="J39" s="3">
        <v>895</v>
      </c>
      <c r="K39" s="3"/>
      <c r="L39" s="3">
        <v>0</v>
      </c>
      <c r="M39" s="3"/>
      <c r="N39" s="3">
        <v>0</v>
      </c>
    </row>
    <row r="40" spans="2:14" x14ac:dyDescent="0.2">
      <c r="C40" t="s">
        <v>117</v>
      </c>
      <c r="F40" s="9">
        <v>1000</v>
      </c>
      <c r="G40" s="3"/>
      <c r="H40" s="3">
        <v>157</v>
      </c>
      <c r="J40" s="3"/>
      <c r="K40" s="3"/>
      <c r="L40" s="3">
        <v>84</v>
      </c>
      <c r="M40" s="3"/>
      <c r="N40" s="3">
        <v>0</v>
      </c>
    </row>
    <row r="41" spans="2:14" x14ac:dyDescent="0.2">
      <c r="D41" t="s">
        <v>109</v>
      </c>
      <c r="F41" s="9">
        <v>1200</v>
      </c>
      <c r="G41" s="3"/>
      <c r="H41" s="3">
        <v>0</v>
      </c>
      <c r="J41" s="3"/>
      <c r="K41" s="3"/>
      <c r="L41" s="3">
        <v>228</v>
      </c>
      <c r="M41" s="3"/>
      <c r="N41" s="3">
        <v>0</v>
      </c>
    </row>
    <row r="42" spans="2:14" x14ac:dyDescent="0.2">
      <c r="C42" t="s">
        <v>30</v>
      </c>
      <c r="F42" s="9">
        <v>3105</v>
      </c>
      <c r="G42" s="3"/>
      <c r="H42" s="3">
        <v>0</v>
      </c>
      <c r="J42" s="3">
        <v>1049</v>
      </c>
      <c r="K42" s="3"/>
      <c r="L42" s="3">
        <v>34</v>
      </c>
      <c r="M42" s="3"/>
      <c r="N42" s="3">
        <v>0</v>
      </c>
    </row>
    <row r="43" spans="2:14" x14ac:dyDescent="0.2">
      <c r="D43" t="s">
        <v>131</v>
      </c>
      <c r="F43" s="9">
        <v>1500</v>
      </c>
      <c r="G43" s="3"/>
      <c r="H43" s="3">
        <v>1045</v>
      </c>
      <c r="J43" s="3">
        <v>129</v>
      </c>
      <c r="K43" s="3"/>
      <c r="L43" s="3">
        <v>0</v>
      </c>
      <c r="M43" s="3"/>
      <c r="N43" s="3">
        <v>0</v>
      </c>
    </row>
    <row r="44" spans="2:14" x14ac:dyDescent="0.2">
      <c r="C44" t="s">
        <v>115</v>
      </c>
      <c r="F44" s="9">
        <v>600</v>
      </c>
      <c r="G44" s="3"/>
      <c r="H44" s="3">
        <v>14</v>
      </c>
      <c r="J44" s="3">
        <v>26</v>
      </c>
      <c r="K44" s="3"/>
      <c r="L44" s="3">
        <v>452</v>
      </c>
      <c r="M44" s="3"/>
      <c r="N44" s="3">
        <v>0</v>
      </c>
    </row>
    <row r="45" spans="2:14" x14ac:dyDescent="0.2">
      <c r="C45" t="s">
        <v>116</v>
      </c>
      <c r="F45" s="9">
        <v>3000</v>
      </c>
      <c r="G45" s="3"/>
      <c r="H45" s="3">
        <v>0</v>
      </c>
      <c r="J45" s="3">
        <v>149</v>
      </c>
      <c r="K45" s="3"/>
      <c r="L45" s="3">
        <v>7</v>
      </c>
      <c r="M45" s="3"/>
      <c r="N45" s="3">
        <v>0</v>
      </c>
    </row>
    <row r="46" spans="2:14" x14ac:dyDescent="0.2">
      <c r="D46" t="s">
        <v>118</v>
      </c>
      <c r="F46" s="9">
        <v>600</v>
      </c>
      <c r="G46" s="3"/>
      <c r="H46" s="3">
        <v>0</v>
      </c>
      <c r="J46" s="3"/>
      <c r="K46" s="3"/>
      <c r="L46" s="3">
        <v>48</v>
      </c>
      <c r="M46" s="3"/>
      <c r="N46" s="3">
        <v>0</v>
      </c>
    </row>
    <row r="47" spans="2:14" x14ac:dyDescent="0.2">
      <c r="C47" t="s">
        <v>35</v>
      </c>
      <c r="F47" s="9">
        <v>600</v>
      </c>
      <c r="G47" s="3"/>
      <c r="H47" s="3">
        <v>343</v>
      </c>
      <c r="J47" s="3"/>
      <c r="K47" s="3"/>
      <c r="L47" s="3">
        <v>0</v>
      </c>
      <c r="M47" s="3"/>
      <c r="N47" s="3">
        <v>0</v>
      </c>
    </row>
    <row r="48" spans="2:14" x14ac:dyDescent="0.2">
      <c r="D48" t="s">
        <v>36</v>
      </c>
      <c r="F48" s="3">
        <v>600</v>
      </c>
      <c r="G48" s="3"/>
      <c r="H48" s="3">
        <v>113</v>
      </c>
      <c r="J48" s="3"/>
      <c r="K48" s="3"/>
      <c r="L48" s="3">
        <v>55</v>
      </c>
      <c r="M48" s="3"/>
      <c r="N48" s="3">
        <v>0</v>
      </c>
    </row>
    <row r="49" spans="3:14" x14ac:dyDescent="0.2">
      <c r="C49" t="s">
        <v>37</v>
      </c>
      <c r="F49" s="3">
        <v>600</v>
      </c>
      <c r="G49" s="3"/>
      <c r="H49" s="3">
        <v>0</v>
      </c>
      <c r="J49" s="3">
        <v>16</v>
      </c>
      <c r="K49" s="3"/>
      <c r="L49" s="3">
        <v>0</v>
      </c>
      <c r="M49" s="3"/>
      <c r="N49" s="3">
        <v>0</v>
      </c>
    </row>
    <row r="50" spans="3:14" x14ac:dyDescent="0.2">
      <c r="C50" t="s">
        <v>175</v>
      </c>
      <c r="F50" s="9">
        <v>1200</v>
      </c>
      <c r="G50" s="3"/>
      <c r="H50" s="3">
        <v>298</v>
      </c>
      <c r="J50" s="3"/>
      <c r="K50" s="3"/>
      <c r="L50" s="3">
        <v>78</v>
      </c>
      <c r="M50" s="3"/>
      <c r="N50" s="3">
        <v>0</v>
      </c>
    </row>
    <row r="51" spans="3:14" x14ac:dyDescent="0.2">
      <c r="C51" t="s">
        <v>41</v>
      </c>
      <c r="F51" s="9">
        <v>1908</v>
      </c>
      <c r="G51" s="3"/>
      <c r="H51" s="3">
        <v>1051</v>
      </c>
      <c r="J51" s="3"/>
      <c r="K51" s="3"/>
      <c r="L51" s="3">
        <v>0</v>
      </c>
      <c r="M51" s="3"/>
      <c r="N51" s="3">
        <v>0</v>
      </c>
    </row>
    <row r="52" spans="3:14" x14ac:dyDescent="0.2">
      <c r="D52" t="s">
        <v>176</v>
      </c>
      <c r="F52" s="9">
        <v>1125</v>
      </c>
      <c r="G52" s="3"/>
      <c r="H52" s="3">
        <v>1368</v>
      </c>
      <c r="J52" s="3"/>
      <c r="K52" s="3"/>
      <c r="L52" s="3">
        <v>144</v>
      </c>
      <c r="M52" s="3"/>
      <c r="N52" s="3">
        <v>0</v>
      </c>
    </row>
    <row r="53" spans="3:14" x14ac:dyDescent="0.2">
      <c r="C53" t="s">
        <v>39</v>
      </c>
      <c r="F53" s="9">
        <v>600</v>
      </c>
      <c r="G53" s="3"/>
      <c r="H53" s="3">
        <v>648</v>
      </c>
      <c r="J53" s="3">
        <v>47</v>
      </c>
      <c r="K53" s="3"/>
      <c r="L53" s="3">
        <v>35</v>
      </c>
      <c r="M53" s="3"/>
      <c r="N53" s="3">
        <v>0</v>
      </c>
    </row>
    <row r="54" spans="3:14" x14ac:dyDescent="0.2">
      <c r="D54" t="s">
        <v>40</v>
      </c>
      <c r="F54" s="9">
        <v>600</v>
      </c>
      <c r="G54" s="3"/>
      <c r="H54" s="3">
        <v>216</v>
      </c>
      <c r="J54" s="3"/>
      <c r="K54" s="3"/>
      <c r="L54" s="3">
        <v>0</v>
      </c>
      <c r="M54" s="3"/>
      <c r="N54" s="3">
        <v>0</v>
      </c>
    </row>
    <row r="55" spans="3:14" x14ac:dyDescent="0.2">
      <c r="C55" t="s">
        <v>119</v>
      </c>
      <c r="F55" s="3">
        <v>600</v>
      </c>
      <c r="G55" s="3"/>
      <c r="H55" s="3">
        <v>92</v>
      </c>
      <c r="J55" s="3"/>
      <c r="K55" s="3"/>
      <c r="L55" s="3">
        <v>0</v>
      </c>
      <c r="M55" s="3"/>
      <c r="N55" s="3">
        <v>0</v>
      </c>
    </row>
    <row r="56" spans="3:14" x14ac:dyDescent="0.2">
      <c r="D56" t="s">
        <v>120</v>
      </c>
      <c r="F56" s="3">
        <v>600</v>
      </c>
      <c r="G56" s="3"/>
      <c r="H56" s="3">
        <v>0</v>
      </c>
      <c r="J56" s="3"/>
      <c r="K56" s="3"/>
      <c r="L56" s="3">
        <v>112</v>
      </c>
      <c r="M56" s="3"/>
      <c r="N56" s="3">
        <v>0</v>
      </c>
    </row>
    <row r="57" spans="3:14" x14ac:dyDescent="0.2">
      <c r="C57" t="s">
        <v>45</v>
      </c>
      <c r="F57" s="9">
        <v>1000</v>
      </c>
      <c r="G57" s="3"/>
      <c r="H57" s="3">
        <v>453</v>
      </c>
      <c r="J57" s="3"/>
      <c r="K57" s="3"/>
      <c r="L57" s="3">
        <v>0</v>
      </c>
      <c r="M57" s="3"/>
      <c r="N57" s="3">
        <v>0</v>
      </c>
    </row>
    <row r="58" spans="3:14" x14ac:dyDescent="0.2">
      <c r="D58" t="s">
        <v>46</v>
      </c>
      <c r="F58" s="9">
        <v>600</v>
      </c>
      <c r="G58" s="3"/>
      <c r="H58" s="3">
        <v>0</v>
      </c>
      <c r="J58" s="3"/>
      <c r="K58" s="3"/>
      <c r="L58" s="3">
        <v>95</v>
      </c>
      <c r="M58" s="3"/>
      <c r="N58" s="3">
        <v>0</v>
      </c>
    </row>
    <row r="59" spans="3:14" x14ac:dyDescent="0.2">
      <c r="C59" t="s">
        <v>121</v>
      </c>
      <c r="F59" s="3">
        <v>600</v>
      </c>
      <c r="G59" s="3"/>
      <c r="H59" s="3">
        <v>0</v>
      </c>
      <c r="J59" s="3"/>
      <c r="K59" s="3"/>
      <c r="L59" s="3">
        <v>0</v>
      </c>
      <c r="M59" s="3"/>
      <c r="N59" s="3">
        <v>0</v>
      </c>
    </row>
    <row r="60" spans="3:14" x14ac:dyDescent="0.2">
      <c r="C60" t="s">
        <v>78</v>
      </c>
      <c r="F60" s="9">
        <v>3000</v>
      </c>
      <c r="G60" s="3"/>
      <c r="H60" s="3">
        <v>446</v>
      </c>
      <c r="J60" s="3"/>
      <c r="K60" s="3"/>
      <c r="L60" s="3"/>
      <c r="M60" s="3"/>
      <c r="N60" s="3">
        <v>0</v>
      </c>
    </row>
    <row r="61" spans="3:14" x14ac:dyDescent="0.2">
      <c r="C61" t="s">
        <v>173</v>
      </c>
      <c r="F61" s="9">
        <v>800</v>
      </c>
      <c r="G61" s="9"/>
      <c r="H61" s="3">
        <v>124</v>
      </c>
      <c r="J61" s="3"/>
      <c r="K61" s="3"/>
      <c r="L61" s="3">
        <v>0</v>
      </c>
      <c r="M61" s="3"/>
      <c r="N61" s="3">
        <v>0</v>
      </c>
    </row>
    <row r="62" spans="3:14" x14ac:dyDescent="0.2">
      <c r="D62" t="s">
        <v>29</v>
      </c>
      <c r="F62" s="9">
        <v>4200</v>
      </c>
      <c r="G62" s="9"/>
      <c r="H62" s="3">
        <v>2264</v>
      </c>
      <c r="J62" s="3">
        <v>1204</v>
      </c>
      <c r="K62" s="3"/>
      <c r="L62" s="3">
        <v>2021</v>
      </c>
      <c r="M62" s="3"/>
      <c r="N62" s="3">
        <v>0</v>
      </c>
    </row>
    <row r="63" spans="3:14" x14ac:dyDescent="0.2">
      <c r="C63" t="s">
        <v>174</v>
      </c>
      <c r="F63" s="3">
        <v>3860</v>
      </c>
      <c r="G63" s="3"/>
      <c r="H63" s="3">
        <v>491</v>
      </c>
      <c r="J63" s="3">
        <v>3070</v>
      </c>
      <c r="K63" s="3"/>
      <c r="L63" s="3">
        <v>0</v>
      </c>
      <c r="M63" s="3"/>
      <c r="N63" s="3">
        <v>0</v>
      </c>
    </row>
    <row r="64" spans="3:14" x14ac:dyDescent="0.2">
      <c r="D64" t="s">
        <v>123</v>
      </c>
      <c r="F64" s="3">
        <v>600</v>
      </c>
      <c r="G64" s="3"/>
      <c r="H64" s="3">
        <v>175</v>
      </c>
      <c r="J64" s="3"/>
      <c r="K64" s="3"/>
      <c r="L64" s="3">
        <v>0</v>
      </c>
      <c r="M64" s="3"/>
      <c r="N64" s="3">
        <v>0</v>
      </c>
    </row>
    <row r="65" spans="2:14" x14ac:dyDescent="0.2">
      <c r="C65" t="s">
        <v>124</v>
      </c>
      <c r="F65" s="9">
        <v>600</v>
      </c>
      <c r="G65" s="3"/>
      <c r="H65" s="3">
        <v>0</v>
      </c>
      <c r="J65" s="3"/>
      <c r="K65" s="3"/>
      <c r="L65" s="3">
        <v>0</v>
      </c>
      <c r="M65" s="3"/>
      <c r="N65" s="3">
        <v>0</v>
      </c>
    </row>
    <row r="66" spans="2:14" x14ac:dyDescent="0.2">
      <c r="B66" t="s">
        <v>99</v>
      </c>
      <c r="F66" s="10">
        <f>SUM(F33:F65)</f>
        <v>41818</v>
      </c>
      <c r="G66" s="3"/>
      <c r="H66" s="10">
        <f>SUM(H33:H65)</f>
        <v>14973</v>
      </c>
      <c r="J66" s="10">
        <f>SUM(J33:J65)</f>
        <v>8894</v>
      </c>
      <c r="K66" s="3"/>
      <c r="L66" s="10">
        <f>SUM(L33:L65)</f>
        <v>5089</v>
      </c>
      <c r="M66" s="3"/>
      <c r="N66" s="10">
        <f>SUM(N33:N65)</f>
        <v>0</v>
      </c>
    </row>
    <row r="67" spans="2:14" ht="22.5" customHeight="1" x14ac:dyDescent="0.2">
      <c r="B67" t="s">
        <v>51</v>
      </c>
      <c r="F67" s="5">
        <f>F66-41818</f>
        <v>0</v>
      </c>
      <c r="G67" s="3"/>
      <c r="H67" s="5">
        <f>H66-14973-0</f>
        <v>0</v>
      </c>
      <c r="J67" s="5">
        <f>J66-8894</f>
        <v>0</v>
      </c>
      <c r="K67" s="3"/>
      <c r="L67" s="3"/>
      <c r="M67" s="3"/>
      <c r="N67" s="3"/>
    </row>
    <row r="68" spans="2:14" x14ac:dyDescent="0.2">
      <c r="C68" t="s">
        <v>125</v>
      </c>
      <c r="F68" s="9">
        <v>2708</v>
      </c>
      <c r="G68" s="3"/>
      <c r="H68" s="3">
        <v>2724</v>
      </c>
      <c r="J68" s="3">
        <v>596</v>
      </c>
      <c r="K68" s="3"/>
      <c r="L68" s="3">
        <v>29</v>
      </c>
      <c r="M68" s="3"/>
      <c r="N68" s="3">
        <v>0</v>
      </c>
    </row>
    <row r="69" spans="2:14" x14ac:dyDescent="0.2">
      <c r="C69" t="s">
        <v>126</v>
      </c>
      <c r="F69" s="9">
        <v>2000</v>
      </c>
      <c r="G69" s="3"/>
      <c r="H69" s="3">
        <v>805</v>
      </c>
      <c r="J69" s="3">
        <v>828</v>
      </c>
      <c r="K69" s="3"/>
      <c r="L69" s="3">
        <v>397</v>
      </c>
      <c r="M69" s="3"/>
      <c r="N69" s="3">
        <v>0</v>
      </c>
    </row>
    <row r="70" spans="2:14" x14ac:dyDescent="0.2">
      <c r="C70" t="s">
        <v>71</v>
      </c>
      <c r="F70" s="9">
        <v>5800</v>
      </c>
      <c r="G70" s="3"/>
      <c r="H70" s="3">
        <v>5605</v>
      </c>
      <c r="J70" s="3">
        <v>1546</v>
      </c>
      <c r="K70" s="3"/>
      <c r="L70" s="3">
        <v>514</v>
      </c>
      <c r="M70" s="3"/>
      <c r="N70" s="3">
        <v>0</v>
      </c>
    </row>
    <row r="71" spans="2:14" x14ac:dyDescent="0.2">
      <c r="C71" t="s">
        <v>127</v>
      </c>
      <c r="F71" s="9">
        <v>2120</v>
      </c>
      <c r="G71" s="3"/>
      <c r="H71" s="3">
        <v>462</v>
      </c>
      <c r="J71" s="3">
        <v>227</v>
      </c>
      <c r="K71" s="3"/>
      <c r="L71" s="3">
        <v>0</v>
      </c>
      <c r="M71" s="3"/>
      <c r="N71" s="3">
        <v>0</v>
      </c>
    </row>
    <row r="72" spans="2:14" x14ac:dyDescent="0.2">
      <c r="C72" t="s">
        <v>56</v>
      </c>
      <c r="F72" s="9">
        <v>1613</v>
      </c>
      <c r="G72" s="3"/>
      <c r="H72" s="3">
        <v>802</v>
      </c>
      <c r="J72" s="3">
        <v>514</v>
      </c>
      <c r="K72" s="3"/>
      <c r="L72" s="3">
        <v>382</v>
      </c>
      <c r="M72" s="3"/>
      <c r="N72" s="3">
        <v>0</v>
      </c>
    </row>
    <row r="73" spans="2:14" x14ac:dyDescent="0.2">
      <c r="C73" t="s">
        <v>57</v>
      </c>
      <c r="F73" s="9">
        <v>2657</v>
      </c>
      <c r="G73" s="3"/>
      <c r="H73" s="3">
        <v>754</v>
      </c>
      <c r="J73" s="3">
        <v>310</v>
      </c>
      <c r="K73" s="3"/>
      <c r="L73" s="3">
        <v>494</v>
      </c>
      <c r="M73" s="3"/>
      <c r="N73" s="3">
        <v>0</v>
      </c>
    </row>
    <row r="74" spans="2:14" x14ac:dyDescent="0.2">
      <c r="C74" t="s">
        <v>128</v>
      </c>
      <c r="F74" s="9">
        <v>2200</v>
      </c>
      <c r="G74" s="3"/>
      <c r="H74" s="3">
        <v>1131</v>
      </c>
      <c r="J74" s="3">
        <v>1811</v>
      </c>
      <c r="K74" s="3"/>
      <c r="L74" s="3">
        <v>963</v>
      </c>
      <c r="M74" s="3"/>
      <c r="N74" s="3">
        <v>0</v>
      </c>
    </row>
    <row r="75" spans="2:14" x14ac:dyDescent="0.2">
      <c r="B75" t="s">
        <v>100</v>
      </c>
      <c r="F75" s="10">
        <f>SUM(F68:F74)</f>
        <v>19098</v>
      </c>
      <c r="G75" s="3"/>
      <c r="H75" s="10">
        <f>SUM(H68:H74)</f>
        <v>12283</v>
      </c>
      <c r="J75" s="10">
        <f>SUM(J68:J74)</f>
        <v>5832</v>
      </c>
      <c r="K75" s="3"/>
      <c r="L75" s="10">
        <f>SUM(L68:L74)</f>
        <v>2779</v>
      </c>
      <c r="M75" s="3"/>
      <c r="N75" s="10">
        <f>SUM(N68:N74)</f>
        <v>0</v>
      </c>
    </row>
    <row r="76" spans="2:14" ht="22.5" customHeight="1" x14ac:dyDescent="0.2">
      <c r="B76" t="s">
        <v>148</v>
      </c>
      <c r="F76" s="5">
        <f>F75-19098</f>
        <v>0</v>
      </c>
      <c r="G76" s="3"/>
      <c r="H76" s="5">
        <f>H75-12283</f>
        <v>0</v>
      </c>
      <c r="J76" s="5">
        <f>J75-5832</f>
        <v>0</v>
      </c>
      <c r="K76" s="3"/>
      <c r="L76" s="3"/>
      <c r="M76" s="3"/>
      <c r="N76" s="3"/>
    </row>
    <row r="77" spans="2:14" x14ac:dyDescent="0.2">
      <c r="C77" t="s">
        <v>146</v>
      </c>
      <c r="F77" s="9">
        <f>1155*12</f>
        <v>13860</v>
      </c>
      <c r="G77" s="3"/>
      <c r="H77" s="5">
        <f>17600-17600+1105*12</f>
        <v>13260</v>
      </c>
      <c r="J77" s="3">
        <v>12660</v>
      </c>
      <c r="K77" s="3"/>
      <c r="L77" s="3">
        <v>9497</v>
      </c>
      <c r="M77" s="3"/>
      <c r="N77" s="3"/>
    </row>
    <row r="78" spans="2:14" x14ac:dyDescent="0.2">
      <c r="C78" t="s">
        <v>79</v>
      </c>
      <c r="F78" s="3">
        <f>250*12</f>
        <v>3000</v>
      </c>
      <c r="G78" s="3"/>
      <c r="H78" s="3">
        <v>2311</v>
      </c>
      <c r="J78" s="3">
        <v>2452</v>
      </c>
      <c r="K78" s="3"/>
      <c r="L78" s="3">
        <v>2375</v>
      </c>
      <c r="M78" s="3"/>
      <c r="N78" s="3"/>
    </row>
    <row r="79" spans="2:14" x14ac:dyDescent="0.2">
      <c r="C79" t="s">
        <v>147</v>
      </c>
      <c r="F79" s="3">
        <f>2800+2500</f>
        <v>5300</v>
      </c>
      <c r="G79" s="3"/>
      <c r="H79" s="3">
        <v>5846</v>
      </c>
      <c r="J79" s="3">
        <v>3415</v>
      </c>
      <c r="K79" s="3"/>
      <c r="L79" s="3">
        <f>1563+1399</f>
        <v>2962</v>
      </c>
      <c r="M79" s="3"/>
      <c r="N79" s="3"/>
    </row>
    <row r="80" spans="2:14" x14ac:dyDescent="0.2">
      <c r="C80" t="s">
        <v>129</v>
      </c>
      <c r="F80" s="9">
        <v>3000</v>
      </c>
      <c r="G80" s="3"/>
      <c r="H80" s="3">
        <v>1389</v>
      </c>
      <c r="J80" s="3">
        <v>1628</v>
      </c>
      <c r="K80" s="3"/>
      <c r="L80" s="3">
        <v>0</v>
      </c>
      <c r="M80" s="3"/>
      <c r="N80" s="3">
        <v>0</v>
      </c>
    </row>
    <row r="81" spans="1:14" x14ac:dyDescent="0.2">
      <c r="B81" t="s">
        <v>114</v>
      </c>
      <c r="F81" s="10">
        <f>SUM(F77:F80)</f>
        <v>25160</v>
      </c>
      <c r="G81" s="3"/>
      <c r="H81" s="10">
        <f>SUM(H76:H80)</f>
        <v>22806</v>
      </c>
      <c r="J81" s="10">
        <f>SUM(J76:J80)</f>
        <v>20155</v>
      </c>
      <c r="K81" s="3"/>
      <c r="L81" s="10">
        <f>SUM(L76:L80)</f>
        <v>14834</v>
      </c>
      <c r="M81" s="3"/>
      <c r="N81" s="10">
        <f>SUM(N76:N80)</f>
        <v>0</v>
      </c>
    </row>
    <row r="82" spans="1:14" ht="22.5" customHeight="1" x14ac:dyDescent="0.2">
      <c r="B82" t="s">
        <v>136</v>
      </c>
      <c r="F82" s="5">
        <f>F81-25160</f>
        <v>0</v>
      </c>
      <c r="G82" s="3"/>
      <c r="H82" s="3"/>
      <c r="J82" s="5">
        <f>J81-20155</f>
        <v>0</v>
      </c>
      <c r="K82" s="3"/>
      <c r="L82" s="3"/>
      <c r="M82" s="3"/>
      <c r="N82" s="3"/>
    </row>
    <row r="83" spans="1:14" x14ac:dyDescent="0.2">
      <c r="C83" t="s">
        <v>134</v>
      </c>
      <c r="F83" s="3">
        <v>0</v>
      </c>
      <c r="G83" s="3"/>
      <c r="H83" s="3">
        <v>12</v>
      </c>
      <c r="J83" s="3">
        <v>12</v>
      </c>
      <c r="K83" s="3"/>
      <c r="L83" s="3">
        <v>0</v>
      </c>
      <c r="M83" s="3"/>
      <c r="N83" s="3">
        <v>0</v>
      </c>
    </row>
    <row r="84" spans="1:14" x14ac:dyDescent="0.2">
      <c r="C84" t="s">
        <v>135</v>
      </c>
      <c r="F84" s="3">
        <f>200+750</f>
        <v>950</v>
      </c>
      <c r="G84" s="3"/>
      <c r="H84" s="9">
        <v>225</v>
      </c>
      <c r="J84" s="3">
        <v>264</v>
      </c>
      <c r="K84" s="3"/>
      <c r="L84" s="3">
        <v>703</v>
      </c>
      <c r="M84" s="3"/>
      <c r="N84" s="3"/>
    </row>
    <row r="85" spans="1:14" x14ac:dyDescent="0.2">
      <c r="C85" t="s">
        <v>132</v>
      </c>
      <c r="F85" s="9">
        <v>2000</v>
      </c>
      <c r="G85" s="3"/>
      <c r="H85" s="3">
        <v>1740</v>
      </c>
      <c r="J85" s="3">
        <v>1715</v>
      </c>
      <c r="K85" s="3"/>
      <c r="L85" s="3">
        <v>0</v>
      </c>
      <c r="M85" s="3"/>
      <c r="N85" s="3">
        <v>0</v>
      </c>
    </row>
    <row r="86" spans="1:14" x14ac:dyDescent="0.2">
      <c r="C86" t="s">
        <v>137</v>
      </c>
      <c r="F86" s="26">
        <v>1200</v>
      </c>
      <c r="G86" s="3"/>
      <c r="H86" s="3">
        <v>618</v>
      </c>
      <c r="J86" s="3">
        <v>0</v>
      </c>
      <c r="K86" s="3"/>
      <c r="L86" s="3">
        <v>0</v>
      </c>
      <c r="M86" s="3"/>
      <c r="N86" s="3">
        <v>0</v>
      </c>
    </row>
    <row r="87" spans="1:14" x14ac:dyDescent="0.2">
      <c r="C87" t="s">
        <v>138</v>
      </c>
      <c r="F87" s="3">
        <v>200</v>
      </c>
      <c r="G87" s="3"/>
      <c r="H87" s="3">
        <f>266+23</f>
        <v>289</v>
      </c>
      <c r="J87" s="3"/>
      <c r="K87" s="3"/>
      <c r="L87" s="3">
        <v>0</v>
      </c>
      <c r="M87" s="3"/>
      <c r="N87" s="3">
        <v>0</v>
      </c>
    </row>
    <row r="88" spans="1:14" x14ac:dyDescent="0.2">
      <c r="B88" t="s">
        <v>133</v>
      </c>
      <c r="C88" s="2"/>
      <c r="F88" s="10">
        <f>SUM(F83:F87)</f>
        <v>4350</v>
      </c>
      <c r="G88" s="3"/>
      <c r="H88" s="10">
        <f>SUM(H83:H87)</f>
        <v>2884</v>
      </c>
      <c r="J88" s="10">
        <f>SUM(J83:J87)</f>
        <v>1991</v>
      </c>
      <c r="K88" s="3"/>
      <c r="L88" s="10">
        <f>SUM(L83:L87)</f>
        <v>703</v>
      </c>
      <c r="M88" s="3"/>
      <c r="N88" s="10">
        <f>SUM(N83:N87)</f>
        <v>0</v>
      </c>
    </row>
    <row r="89" spans="1:14" ht="22.5" customHeight="1" x14ac:dyDescent="0.2">
      <c r="B89" t="s">
        <v>140</v>
      </c>
      <c r="F89" s="3">
        <v>3200</v>
      </c>
      <c r="G89" s="3"/>
      <c r="H89" s="3">
        <v>3200</v>
      </c>
      <c r="J89" s="3">
        <v>8200</v>
      </c>
      <c r="K89" s="3"/>
      <c r="L89" s="3">
        <v>3200</v>
      </c>
      <c r="M89" s="3"/>
      <c r="N89" s="3"/>
    </row>
    <row r="90" spans="1:14" ht="22.5" customHeight="1" x14ac:dyDescent="0.2">
      <c r="B90" t="s">
        <v>141</v>
      </c>
      <c r="F90" s="3">
        <v>0</v>
      </c>
      <c r="G90" s="3"/>
      <c r="H90" s="3">
        <v>0</v>
      </c>
      <c r="J90" s="3">
        <v>0</v>
      </c>
      <c r="K90" s="3"/>
      <c r="L90" s="3">
        <v>0</v>
      </c>
      <c r="M90" s="3"/>
      <c r="N90" s="3">
        <v>0</v>
      </c>
    </row>
    <row r="91" spans="1:14" ht="22.5" customHeight="1" x14ac:dyDescent="0.2">
      <c r="B91" t="s">
        <v>142</v>
      </c>
      <c r="F91" s="3"/>
      <c r="G91" s="3"/>
      <c r="H91" s="3"/>
      <c r="J91" s="3"/>
      <c r="K91" s="3"/>
      <c r="L91" s="3"/>
      <c r="M91" s="3"/>
      <c r="N91" s="3"/>
    </row>
    <row r="92" spans="1:14" x14ac:dyDescent="0.2">
      <c r="C92" t="s">
        <v>71</v>
      </c>
      <c r="F92" s="3">
        <f>1100</f>
        <v>1100</v>
      </c>
      <c r="G92" s="3"/>
      <c r="H92" s="3">
        <v>0</v>
      </c>
      <c r="J92" s="3">
        <v>0</v>
      </c>
      <c r="K92" s="3"/>
      <c r="L92" s="3">
        <v>932</v>
      </c>
      <c r="M92" s="3"/>
      <c r="N92" s="3"/>
    </row>
    <row r="93" spans="1:14" x14ac:dyDescent="0.2">
      <c r="C93" t="s">
        <v>139</v>
      </c>
      <c r="F93" s="3">
        <f>3000</f>
        <v>3000</v>
      </c>
      <c r="G93" s="3"/>
      <c r="H93" s="3">
        <v>0</v>
      </c>
      <c r="J93" s="3">
        <v>0</v>
      </c>
      <c r="K93" s="3"/>
      <c r="L93" s="3">
        <v>2350</v>
      </c>
      <c r="M93" s="3"/>
      <c r="N93" s="3"/>
    </row>
    <row r="94" spans="1:14" x14ac:dyDescent="0.2">
      <c r="C94" t="s">
        <v>158</v>
      </c>
      <c r="F94" s="3">
        <f>100*29</f>
        <v>2900</v>
      </c>
      <c r="G94" s="3"/>
      <c r="H94" s="3">
        <v>0</v>
      </c>
      <c r="J94" s="3">
        <v>0</v>
      </c>
      <c r="K94" s="3"/>
      <c r="L94" s="3">
        <v>0</v>
      </c>
      <c r="M94" s="3"/>
      <c r="N94" s="3">
        <v>0</v>
      </c>
    </row>
    <row r="95" spans="1:14" x14ac:dyDescent="0.2">
      <c r="B95" t="s">
        <v>154</v>
      </c>
      <c r="C95" s="2"/>
      <c r="F95" s="10">
        <f>SUM(F91:F94)</f>
        <v>7000</v>
      </c>
      <c r="G95" s="3"/>
      <c r="H95" s="10">
        <f>SUM(H91:H94)</f>
        <v>0</v>
      </c>
      <c r="J95" s="10">
        <f>SUM(J91:J94)</f>
        <v>0</v>
      </c>
      <c r="K95" s="3"/>
      <c r="L95" s="10">
        <f>SUM(L91:L94)</f>
        <v>3282</v>
      </c>
      <c r="M95" s="3"/>
      <c r="N95" s="10">
        <f>SUM(N91:N94)</f>
        <v>0</v>
      </c>
    </row>
    <row r="96" spans="1:14" ht="22.5" customHeight="1" x14ac:dyDescent="0.2">
      <c r="A96" s="11" t="s">
        <v>80</v>
      </c>
      <c r="F96" s="7">
        <f>F31+F66+F75+F81+SUM(F88:F90)+F95</f>
        <v>143026</v>
      </c>
      <c r="G96" s="3"/>
      <c r="H96" s="7">
        <f>H31+H66+H75+H81+SUM(H88:H90)+H95</f>
        <v>100317</v>
      </c>
      <c r="J96" s="7">
        <f>J31+J66+J75+J81+SUM(J88:J90)+J95</f>
        <v>64697</v>
      </c>
      <c r="K96" s="3"/>
      <c r="L96" s="7">
        <f>L31+L66+L75+L81+SUM(L88:L90)+L95</f>
        <v>35571</v>
      </c>
      <c r="M96" s="3"/>
      <c r="N96" s="7">
        <f>N31+N66+N75+N81+SUM(N88:N90)+N95</f>
        <v>0</v>
      </c>
    </row>
    <row r="97" spans="1:14" x14ac:dyDescent="0.2">
      <c r="G97" s="3"/>
      <c r="H97" s="5">
        <f>H96-104379+17600-13200</f>
        <v>338</v>
      </c>
      <c r="J97" s="5">
        <f>J96-64697</f>
        <v>0</v>
      </c>
      <c r="K97" s="3"/>
      <c r="L97" s="3"/>
      <c r="M97" s="3"/>
      <c r="N97" s="3"/>
    </row>
    <row r="98" spans="1:14" ht="16" thickBot="1" x14ac:dyDescent="0.25">
      <c r="A98" s="11" t="s">
        <v>178</v>
      </c>
      <c r="F98" s="13">
        <f>F13-F96</f>
        <v>17351</v>
      </c>
      <c r="G98" s="3"/>
      <c r="H98" s="13">
        <f>H13-H96</f>
        <v>47225</v>
      </c>
      <c r="J98" s="13">
        <f>J13-J96</f>
        <v>67601</v>
      </c>
      <c r="L98" s="13">
        <f>L13-L96</f>
        <v>63089</v>
      </c>
      <c r="N98" s="13">
        <f>N13-N96</f>
        <v>0</v>
      </c>
    </row>
    <row r="99" spans="1:14" ht="16" thickTop="1" x14ac:dyDescent="0.2">
      <c r="F99" s="22">
        <f>ROUND(F98-17351,2)</f>
        <v>0</v>
      </c>
      <c r="H99" s="22">
        <f>ROUND(H98+5440-17600+13260-48604,2)</f>
        <v>-279</v>
      </c>
      <c r="J99" s="17">
        <f>ROUND(J98-83694+64697-48604,2)</f>
        <v>0</v>
      </c>
      <c r="L99" s="17">
        <f>ROUND(L98-62890,2)</f>
        <v>199</v>
      </c>
      <c r="N99" s="17">
        <f>ROUND(N98-62890,2)</f>
        <v>-62890</v>
      </c>
    </row>
  </sheetData>
  <mergeCells count="1">
    <mergeCell ref="H2:N2"/>
  </mergeCells>
  <pageMargins left="0.45" right="0.25" top="0.7" bottom="0.6" header="0.3" footer="0.3"/>
  <pageSetup scale="87" fitToHeight="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98"/>
  <sheetViews>
    <sheetView zoomScaleNormal="100" workbookViewId="0">
      <pane ySplit="3" topLeftCell="A79" activePane="bottomLeft" state="frozen"/>
      <selection pane="bottomLeft" activeCell="D26" sqref="D26"/>
    </sheetView>
  </sheetViews>
  <sheetFormatPr baseColWidth="10" defaultColWidth="8.83203125" defaultRowHeight="15" x14ac:dyDescent="0.2"/>
  <cols>
    <col min="1" max="3" width="2.6640625" customWidth="1"/>
    <col min="4" max="4" width="39.5" customWidth="1"/>
    <col min="5" max="5" width="2.6640625" customWidth="1"/>
    <col min="6" max="6" width="10.5" bestFit="1" customWidth="1"/>
    <col min="7" max="7" width="2.6640625" customWidth="1"/>
    <col min="8" max="8" width="10.5" bestFit="1" customWidth="1"/>
    <col min="9" max="9" width="2.6640625" customWidth="1"/>
    <col min="10" max="10" width="11.5" bestFit="1" customWidth="1"/>
    <col min="11" max="11" width="2.6640625" customWidth="1"/>
    <col min="12" max="12" width="10.5" bestFit="1" customWidth="1"/>
    <col min="13" max="13" width="2.6640625" customWidth="1"/>
    <col min="14" max="14" width="11.5" bestFit="1" customWidth="1"/>
    <col min="15" max="15" width="2.6640625" customWidth="1"/>
  </cols>
  <sheetData>
    <row r="1" spans="1:14" ht="16" x14ac:dyDescent="0.2">
      <c r="A1" s="12" t="s">
        <v>164</v>
      </c>
    </row>
    <row r="2" spans="1:14" x14ac:dyDescent="0.2">
      <c r="E2" s="15"/>
      <c r="F2" s="16" t="s">
        <v>102</v>
      </c>
      <c r="G2" s="15"/>
      <c r="H2" s="16" t="s">
        <v>163</v>
      </c>
      <c r="I2" s="15"/>
      <c r="J2" s="16"/>
      <c r="K2" s="15"/>
      <c r="L2" s="15"/>
      <c r="M2" s="15"/>
      <c r="N2" s="15"/>
    </row>
    <row r="3" spans="1:14" x14ac:dyDescent="0.2">
      <c r="E3" s="15"/>
      <c r="F3" s="16" t="s">
        <v>106</v>
      </c>
      <c r="G3" s="15"/>
      <c r="H3" s="16" t="s">
        <v>162</v>
      </c>
      <c r="I3" s="15"/>
      <c r="J3" s="16" t="s">
        <v>103</v>
      </c>
      <c r="K3" s="15"/>
      <c r="L3" s="16" t="s">
        <v>104</v>
      </c>
      <c r="M3" s="15"/>
      <c r="N3" s="16" t="s">
        <v>105</v>
      </c>
    </row>
    <row r="4" spans="1:14" x14ac:dyDescent="0.2">
      <c r="A4" t="s">
        <v>157</v>
      </c>
    </row>
    <row r="5" spans="1:14" x14ac:dyDescent="0.2">
      <c r="B5" t="s">
        <v>85</v>
      </c>
      <c r="F5" s="3">
        <v>1500</v>
      </c>
      <c r="G5" s="3"/>
      <c r="H5" s="3">
        <v>242</v>
      </c>
      <c r="J5" s="3">
        <v>2625</v>
      </c>
      <c r="K5" s="3"/>
      <c r="L5" s="3">
        <v>2406</v>
      </c>
      <c r="M5" s="3"/>
      <c r="N5" s="3">
        <v>1000</v>
      </c>
    </row>
    <row r="6" spans="1:14" x14ac:dyDescent="0.2">
      <c r="B6" t="s">
        <v>84</v>
      </c>
      <c r="F6" s="3">
        <v>1200</v>
      </c>
      <c r="G6" s="3"/>
      <c r="H6" s="3">
        <v>1007</v>
      </c>
      <c r="J6" s="3">
        <v>1425</v>
      </c>
      <c r="K6" s="3"/>
      <c r="L6" s="3">
        <v>1243</v>
      </c>
      <c r="M6" s="3"/>
      <c r="N6" s="3">
        <v>1200</v>
      </c>
    </row>
    <row r="7" spans="1:14" x14ac:dyDescent="0.2">
      <c r="B7" t="s">
        <v>86</v>
      </c>
      <c r="F7" s="3">
        <v>75000</v>
      </c>
      <c r="G7" s="3"/>
      <c r="H7" s="3">
        <v>70665</v>
      </c>
      <c r="J7" s="3">
        <v>61000</v>
      </c>
      <c r="K7" s="3"/>
      <c r="L7" s="3">
        <v>46125</v>
      </c>
      <c r="M7" s="3"/>
      <c r="N7" s="3">
        <v>75000</v>
      </c>
    </row>
    <row r="8" spans="1:14" x14ac:dyDescent="0.2">
      <c r="B8" t="s">
        <v>4</v>
      </c>
      <c r="F8" s="3">
        <v>2000</v>
      </c>
      <c r="G8" s="3"/>
      <c r="H8" s="3">
        <v>1616</v>
      </c>
      <c r="J8" s="3">
        <v>1900</v>
      </c>
      <c r="K8" s="3"/>
      <c r="L8" s="3">
        <v>1410</v>
      </c>
      <c r="M8" s="3"/>
      <c r="N8" s="3">
        <v>1300</v>
      </c>
    </row>
    <row r="9" spans="1:14" x14ac:dyDescent="0.2">
      <c r="B9" t="s">
        <v>96</v>
      </c>
      <c r="F9" s="3">
        <v>4800</v>
      </c>
      <c r="G9" s="3"/>
      <c r="H9" s="3">
        <v>1334</v>
      </c>
      <c r="J9" s="3">
        <v>3250</v>
      </c>
      <c r="K9" s="3"/>
      <c r="L9" s="3">
        <v>1223</v>
      </c>
      <c r="M9" s="3"/>
      <c r="N9" s="3">
        <v>6500</v>
      </c>
    </row>
    <row r="10" spans="1:14" x14ac:dyDescent="0.2">
      <c r="B10" t="s">
        <v>101</v>
      </c>
      <c r="F10" s="3">
        <v>0</v>
      </c>
      <c r="G10" s="3"/>
      <c r="H10" s="3">
        <v>1</v>
      </c>
      <c r="J10" s="3">
        <v>0</v>
      </c>
      <c r="K10" s="3"/>
      <c r="L10" s="3">
        <v>0</v>
      </c>
      <c r="M10" s="3"/>
      <c r="N10" s="3">
        <v>0</v>
      </c>
    </row>
    <row r="11" spans="1:14" x14ac:dyDescent="0.2">
      <c r="A11" t="s">
        <v>87</v>
      </c>
      <c r="F11" s="4">
        <f>SUM(F5:F10)</f>
        <v>84500</v>
      </c>
      <c r="G11" s="3"/>
      <c r="H11" s="4">
        <f>SUM(H5:H10)</f>
        <v>74865</v>
      </c>
      <c r="J11" s="4">
        <f>SUM(J5:J10)</f>
        <v>70200</v>
      </c>
      <c r="K11" s="3"/>
      <c r="L11" s="4">
        <f>SUM(L5:L10)</f>
        <v>52407</v>
      </c>
      <c r="M11" s="3"/>
      <c r="N11" s="4">
        <f>SUM(N5:N10)</f>
        <v>85000</v>
      </c>
    </row>
    <row r="12" spans="1:14" ht="22.5" customHeight="1" x14ac:dyDescent="0.2">
      <c r="A12" t="s">
        <v>88</v>
      </c>
      <c r="F12" s="5">
        <v>50000</v>
      </c>
      <c r="G12" s="3"/>
      <c r="H12" s="5">
        <v>48604</v>
      </c>
      <c r="J12" s="5">
        <v>48604</v>
      </c>
      <c r="K12" s="3"/>
      <c r="L12" s="3">
        <v>46253</v>
      </c>
      <c r="M12" s="3"/>
      <c r="N12" s="3">
        <v>30659</v>
      </c>
    </row>
    <row r="13" spans="1:14" ht="22.5" customHeight="1" x14ac:dyDescent="0.2">
      <c r="B13" s="11" t="s">
        <v>95</v>
      </c>
      <c r="F13" s="14">
        <f>SUM(F11:F12)</f>
        <v>134500</v>
      </c>
      <c r="G13" s="3"/>
      <c r="H13" s="14">
        <f>SUM(H11:H12)</f>
        <v>123469</v>
      </c>
      <c r="J13" s="14">
        <f>SUM(J11:J12)</f>
        <v>118804</v>
      </c>
      <c r="K13" s="3"/>
      <c r="L13" s="14">
        <f>SUM(L11:L12)</f>
        <v>98660</v>
      </c>
      <c r="M13" s="3"/>
      <c r="N13" s="14">
        <f>SUM(N11:N12)</f>
        <v>115659</v>
      </c>
    </row>
    <row r="14" spans="1:14" x14ac:dyDescent="0.2">
      <c r="F14" s="3"/>
      <c r="G14" s="3"/>
      <c r="H14" s="3"/>
      <c r="J14" s="3"/>
      <c r="K14" s="3"/>
      <c r="L14" s="3"/>
      <c r="M14" s="3"/>
      <c r="N14" s="3"/>
    </row>
    <row r="15" spans="1:14" x14ac:dyDescent="0.2">
      <c r="A15" t="s">
        <v>156</v>
      </c>
      <c r="F15" s="3"/>
      <c r="G15" s="3"/>
      <c r="H15" s="3"/>
    </row>
    <row r="16" spans="1:14" x14ac:dyDescent="0.2">
      <c r="C16" t="s">
        <v>67</v>
      </c>
      <c r="F16" s="3">
        <v>500</v>
      </c>
      <c r="G16" s="3"/>
      <c r="H16" s="3">
        <v>0</v>
      </c>
      <c r="J16" s="3">
        <v>500</v>
      </c>
      <c r="K16" s="3"/>
      <c r="L16" s="3">
        <v>0</v>
      </c>
      <c r="M16" s="3"/>
      <c r="N16" s="3">
        <v>500</v>
      </c>
    </row>
    <row r="17" spans="2:17" ht="22.5" customHeight="1" x14ac:dyDescent="0.2">
      <c r="B17" t="s">
        <v>83</v>
      </c>
      <c r="C17" s="2"/>
      <c r="F17" s="3"/>
      <c r="G17" s="3"/>
      <c r="H17" s="3"/>
      <c r="J17" s="3"/>
      <c r="K17" s="3"/>
      <c r="L17" s="3"/>
      <c r="M17" s="3"/>
      <c r="N17" s="3"/>
    </row>
    <row r="18" spans="2:17" x14ac:dyDescent="0.2">
      <c r="C18" t="s">
        <v>145</v>
      </c>
      <c r="F18" s="5">
        <f>14400</f>
        <v>14400</v>
      </c>
      <c r="G18" s="3"/>
      <c r="H18" s="3">
        <v>6075</v>
      </c>
      <c r="J18" s="3">
        <v>10800</v>
      </c>
      <c r="K18" s="3"/>
      <c r="L18" s="3">
        <v>3443</v>
      </c>
      <c r="M18" s="3"/>
      <c r="N18" s="3">
        <v>14400</v>
      </c>
    </row>
    <row r="19" spans="2:17" x14ac:dyDescent="0.2">
      <c r="C19" t="s">
        <v>89</v>
      </c>
      <c r="F19" s="5">
        <f>3600</f>
        <v>3600</v>
      </c>
      <c r="G19" s="3"/>
      <c r="H19" s="3">
        <v>1289</v>
      </c>
      <c r="J19" s="3">
        <v>3000</v>
      </c>
      <c r="K19" s="3"/>
      <c r="L19" s="3">
        <v>490</v>
      </c>
      <c r="M19" s="3"/>
      <c r="N19" s="3">
        <v>3600</v>
      </c>
    </row>
    <row r="20" spans="2:17" x14ac:dyDescent="0.2">
      <c r="C20" t="s">
        <v>108</v>
      </c>
      <c r="F20" s="3">
        <v>1600</v>
      </c>
      <c r="G20" s="3"/>
      <c r="H20" s="3">
        <v>0</v>
      </c>
      <c r="J20" s="3">
        <v>1600</v>
      </c>
      <c r="K20" s="3"/>
      <c r="L20" s="3">
        <v>0</v>
      </c>
      <c r="M20" s="3"/>
      <c r="N20" s="3">
        <v>1600</v>
      </c>
    </row>
    <row r="21" spans="2:17" x14ac:dyDescent="0.2">
      <c r="C21" t="s">
        <v>144</v>
      </c>
      <c r="F21" s="3">
        <v>1800</v>
      </c>
      <c r="G21" s="3"/>
      <c r="H21" s="3">
        <v>0</v>
      </c>
      <c r="J21" s="3">
        <v>1800</v>
      </c>
      <c r="K21" s="3"/>
      <c r="L21" s="3">
        <v>0</v>
      </c>
      <c r="M21" s="3"/>
      <c r="N21" s="3">
        <v>1800</v>
      </c>
    </row>
    <row r="22" spans="2:17" x14ac:dyDescent="0.2">
      <c r="C22" t="s">
        <v>143</v>
      </c>
      <c r="F22" s="3">
        <v>0</v>
      </c>
      <c r="G22" s="3"/>
      <c r="H22" s="3">
        <v>4308</v>
      </c>
      <c r="J22" s="3">
        <v>1800</v>
      </c>
      <c r="K22" s="3"/>
      <c r="L22" s="3">
        <v>0</v>
      </c>
      <c r="M22" s="3"/>
      <c r="N22" s="3">
        <v>0</v>
      </c>
      <c r="Q22" s="6"/>
    </row>
    <row r="23" spans="2:17" x14ac:dyDescent="0.2">
      <c r="C23" t="s">
        <v>149</v>
      </c>
      <c r="F23" s="3">
        <v>1600</v>
      </c>
      <c r="G23" s="3"/>
      <c r="H23" s="3">
        <v>1667</v>
      </c>
      <c r="J23" s="3">
        <v>1600</v>
      </c>
      <c r="K23" s="3"/>
      <c r="L23" s="3">
        <v>0</v>
      </c>
      <c r="M23" s="3"/>
      <c r="N23" s="3">
        <v>1600</v>
      </c>
    </row>
    <row r="24" spans="2:17" x14ac:dyDescent="0.2">
      <c r="C24" t="s">
        <v>92</v>
      </c>
      <c r="F24" s="3">
        <v>500</v>
      </c>
      <c r="G24" s="3"/>
      <c r="H24" s="3">
        <v>0</v>
      </c>
      <c r="J24" s="3">
        <v>500</v>
      </c>
      <c r="K24" s="3"/>
      <c r="L24" s="3">
        <v>7</v>
      </c>
      <c r="M24" s="3"/>
      <c r="N24" s="3">
        <v>600</v>
      </c>
      <c r="P24" s="6"/>
    </row>
    <row r="25" spans="2:17" x14ac:dyDescent="0.2">
      <c r="B25" t="s">
        <v>68</v>
      </c>
      <c r="F25" s="3">
        <v>600</v>
      </c>
      <c r="G25" s="3"/>
      <c r="H25" s="9">
        <v>375</v>
      </c>
      <c r="J25" s="3">
        <v>800</v>
      </c>
      <c r="K25" s="3"/>
      <c r="L25" s="3">
        <v>0</v>
      </c>
      <c r="M25" s="3"/>
      <c r="N25" s="3">
        <v>800</v>
      </c>
      <c r="P25" s="6"/>
    </row>
    <row r="26" spans="2:17" x14ac:dyDescent="0.2">
      <c r="B26" s="2" t="s">
        <v>90</v>
      </c>
      <c r="F26" s="5">
        <v>10000</v>
      </c>
      <c r="G26" s="3"/>
      <c r="H26" s="9">
        <v>4335</v>
      </c>
      <c r="J26" s="3">
        <v>10000</v>
      </c>
      <c r="K26" s="3"/>
      <c r="L26" s="3">
        <v>1586</v>
      </c>
      <c r="M26" s="3"/>
      <c r="N26" s="3">
        <v>5500</v>
      </c>
    </row>
    <row r="27" spans="2:17" x14ac:dyDescent="0.2">
      <c r="B27" t="s">
        <v>94</v>
      </c>
      <c r="F27" s="3"/>
      <c r="G27" s="3"/>
      <c r="H27" s="3">
        <v>0</v>
      </c>
      <c r="J27" s="3">
        <v>0</v>
      </c>
      <c r="K27" s="3"/>
      <c r="L27" s="3">
        <v>0</v>
      </c>
      <c r="M27" s="3"/>
      <c r="N27" s="3">
        <v>1500</v>
      </c>
    </row>
    <row r="28" spans="2:17" x14ac:dyDescent="0.2">
      <c r="B28" t="s">
        <v>93</v>
      </c>
      <c r="F28" s="5">
        <f>1200-1200</f>
        <v>0</v>
      </c>
      <c r="G28" s="3"/>
      <c r="H28" s="9">
        <v>355</v>
      </c>
      <c r="J28" s="3">
        <v>1200</v>
      </c>
      <c r="K28" s="3"/>
      <c r="L28" s="3">
        <v>0</v>
      </c>
      <c r="M28" s="3"/>
      <c r="N28" s="3">
        <v>0</v>
      </c>
    </row>
    <row r="29" spans="2:17" x14ac:dyDescent="0.2">
      <c r="B29" t="s">
        <v>91</v>
      </c>
      <c r="F29" s="3">
        <v>400</v>
      </c>
      <c r="G29" s="3"/>
      <c r="H29" s="3">
        <v>0</v>
      </c>
      <c r="J29" s="3">
        <v>0</v>
      </c>
      <c r="K29" s="3"/>
      <c r="L29" s="3">
        <v>158</v>
      </c>
      <c r="M29" s="3"/>
      <c r="N29" s="3">
        <v>400</v>
      </c>
    </row>
    <row r="30" spans="2:17" ht="22.5" customHeight="1" x14ac:dyDescent="0.2">
      <c r="B30" t="s">
        <v>98</v>
      </c>
      <c r="F30" s="10">
        <f>SUM(F16:F29)</f>
        <v>35000</v>
      </c>
      <c r="G30" s="3"/>
      <c r="H30" s="10">
        <f>SUM(H16:H29)</f>
        <v>18404</v>
      </c>
      <c r="J30" s="10">
        <f>SUM(J16:J29)</f>
        <v>33600</v>
      </c>
      <c r="K30" s="3"/>
      <c r="L30" s="10">
        <f>SUM(L16:L29)</f>
        <v>5684</v>
      </c>
      <c r="M30" s="3"/>
      <c r="N30" s="10">
        <f>SUM(N16:N29)</f>
        <v>32300</v>
      </c>
    </row>
    <row r="31" spans="2:17" x14ac:dyDescent="0.2">
      <c r="F31" s="3"/>
      <c r="G31" s="3"/>
      <c r="H31" s="3"/>
      <c r="J31" s="3"/>
      <c r="K31" s="3"/>
      <c r="L31" s="3"/>
      <c r="M31" s="3"/>
      <c r="N31" s="3"/>
    </row>
    <row r="32" spans="2:17" x14ac:dyDescent="0.2">
      <c r="B32" t="s">
        <v>97</v>
      </c>
      <c r="F32" s="3"/>
      <c r="G32" s="3"/>
      <c r="H32" s="3"/>
      <c r="J32" s="3"/>
      <c r="K32" s="3"/>
      <c r="L32" s="3"/>
      <c r="M32" s="3"/>
      <c r="N32" s="3"/>
    </row>
    <row r="33" spans="3:16" x14ac:dyDescent="0.2">
      <c r="C33" t="s">
        <v>24</v>
      </c>
      <c r="F33" s="3">
        <v>600</v>
      </c>
      <c r="G33" s="3"/>
      <c r="H33" s="3">
        <v>0</v>
      </c>
      <c r="J33" s="9">
        <v>600</v>
      </c>
      <c r="K33" s="3"/>
      <c r="L33" s="3">
        <v>0</v>
      </c>
      <c r="M33" s="3"/>
      <c r="N33" s="3">
        <v>600</v>
      </c>
    </row>
    <row r="34" spans="3:16" x14ac:dyDescent="0.2">
      <c r="D34" t="s">
        <v>130</v>
      </c>
      <c r="F34" s="3">
        <v>600</v>
      </c>
      <c r="G34" s="3"/>
      <c r="H34" s="3">
        <v>0</v>
      </c>
      <c r="J34" s="9">
        <v>400</v>
      </c>
      <c r="K34" s="3"/>
      <c r="L34" s="3">
        <v>0</v>
      </c>
      <c r="M34" s="3"/>
      <c r="N34" s="3">
        <v>400</v>
      </c>
    </row>
    <row r="35" spans="3:16" x14ac:dyDescent="0.2">
      <c r="C35" t="s">
        <v>22</v>
      </c>
      <c r="F35" s="3">
        <v>150</v>
      </c>
      <c r="G35" s="3"/>
      <c r="H35" s="3">
        <v>0</v>
      </c>
      <c r="J35" s="3">
        <v>300</v>
      </c>
      <c r="K35" s="3"/>
      <c r="L35" s="3">
        <v>0</v>
      </c>
      <c r="M35" s="3"/>
      <c r="N35" s="3">
        <v>150</v>
      </c>
    </row>
    <row r="36" spans="3:16" x14ac:dyDescent="0.2">
      <c r="C36" t="s">
        <v>111</v>
      </c>
      <c r="F36" s="8">
        <v>3760</v>
      </c>
      <c r="G36" s="3"/>
      <c r="H36" s="3">
        <v>2052</v>
      </c>
      <c r="J36" s="3">
        <v>2900</v>
      </c>
      <c r="K36" s="3"/>
      <c r="L36" s="3">
        <v>1696</v>
      </c>
      <c r="M36" s="3"/>
      <c r="N36" s="3">
        <v>5655</v>
      </c>
    </row>
    <row r="37" spans="3:16" x14ac:dyDescent="0.2">
      <c r="C37" t="s">
        <v>112</v>
      </c>
      <c r="F37" s="3">
        <v>150</v>
      </c>
      <c r="G37" s="3"/>
      <c r="H37" s="3">
        <v>0</v>
      </c>
      <c r="J37" s="3">
        <v>150</v>
      </c>
      <c r="K37" s="3"/>
      <c r="L37" s="3">
        <v>0</v>
      </c>
      <c r="M37" s="3"/>
      <c r="N37" s="3">
        <v>150</v>
      </c>
    </row>
    <row r="38" spans="3:16" x14ac:dyDescent="0.2">
      <c r="C38" t="s">
        <v>113</v>
      </c>
      <c r="F38" s="8">
        <v>900</v>
      </c>
      <c r="G38" s="3"/>
      <c r="H38" s="3">
        <v>0</v>
      </c>
      <c r="J38" s="3">
        <v>900</v>
      </c>
      <c r="K38" s="3"/>
      <c r="L38" s="3">
        <v>0</v>
      </c>
      <c r="M38" s="3"/>
      <c r="N38" s="3">
        <v>900</v>
      </c>
    </row>
    <row r="39" spans="3:16" x14ac:dyDescent="0.2">
      <c r="C39" t="s">
        <v>117</v>
      </c>
      <c r="F39" s="5">
        <v>1000</v>
      </c>
      <c r="G39" s="3"/>
      <c r="H39" s="3">
        <v>0</v>
      </c>
      <c r="J39" s="3">
        <v>1000</v>
      </c>
      <c r="K39" s="3"/>
      <c r="L39" s="3">
        <v>84</v>
      </c>
      <c r="M39" s="3"/>
      <c r="N39" s="3">
        <v>400</v>
      </c>
    </row>
    <row r="40" spans="3:16" x14ac:dyDescent="0.2">
      <c r="D40" t="s">
        <v>109</v>
      </c>
      <c r="F40" s="5">
        <v>1200</v>
      </c>
      <c r="G40" s="3"/>
      <c r="H40" s="3">
        <v>166</v>
      </c>
      <c r="J40" s="3">
        <v>1200</v>
      </c>
      <c r="K40" s="3"/>
      <c r="L40" s="3">
        <v>228</v>
      </c>
      <c r="M40" s="3"/>
      <c r="N40" s="3">
        <v>1200</v>
      </c>
    </row>
    <row r="41" spans="3:16" x14ac:dyDescent="0.2">
      <c r="D41" t="s">
        <v>160</v>
      </c>
      <c r="F41" s="5">
        <v>1000</v>
      </c>
      <c r="G41" s="3"/>
      <c r="H41" s="3">
        <v>704</v>
      </c>
      <c r="J41" s="3">
        <v>500</v>
      </c>
      <c r="K41" s="3"/>
      <c r="L41" s="3">
        <v>0</v>
      </c>
      <c r="M41" s="3"/>
      <c r="N41" s="3">
        <v>500</v>
      </c>
    </row>
    <row r="42" spans="3:16" x14ac:dyDescent="0.2">
      <c r="D42" t="s">
        <v>81</v>
      </c>
      <c r="F42" s="5">
        <v>2800</v>
      </c>
      <c r="G42" s="3"/>
      <c r="H42" s="3">
        <v>2521</v>
      </c>
      <c r="J42" s="3">
        <v>4250</v>
      </c>
      <c r="K42" s="3"/>
      <c r="L42" s="3">
        <v>2021</v>
      </c>
      <c r="M42" s="3"/>
      <c r="N42" s="3">
        <f>2800-500</f>
        <v>2300</v>
      </c>
      <c r="P42" s="6"/>
    </row>
    <row r="43" spans="3:16" x14ac:dyDescent="0.2">
      <c r="C43" t="s">
        <v>30</v>
      </c>
      <c r="F43" s="8">
        <v>3105</v>
      </c>
      <c r="G43" s="3"/>
      <c r="H43" s="3">
        <v>466</v>
      </c>
      <c r="J43" s="3">
        <v>3105</v>
      </c>
      <c r="K43" s="3"/>
      <c r="L43" s="3">
        <v>34</v>
      </c>
      <c r="M43" s="3"/>
      <c r="N43" s="3">
        <v>3105</v>
      </c>
    </row>
    <row r="44" spans="3:16" x14ac:dyDescent="0.2">
      <c r="D44" t="s">
        <v>131</v>
      </c>
      <c r="F44" s="8">
        <v>1500</v>
      </c>
      <c r="G44" s="3"/>
      <c r="H44" s="3">
        <v>0</v>
      </c>
      <c r="J44" s="3">
        <v>1500</v>
      </c>
      <c r="K44" s="3"/>
      <c r="L44" s="3">
        <v>0</v>
      </c>
      <c r="M44" s="3"/>
      <c r="N44" s="3">
        <v>1500</v>
      </c>
    </row>
    <row r="45" spans="3:16" x14ac:dyDescent="0.2">
      <c r="C45" t="s">
        <v>115</v>
      </c>
      <c r="F45" s="21">
        <v>600</v>
      </c>
      <c r="G45" s="3"/>
      <c r="H45" s="3">
        <v>26</v>
      </c>
      <c r="J45" s="3">
        <v>2500</v>
      </c>
      <c r="K45" s="3"/>
      <c r="L45" s="3">
        <v>452</v>
      </c>
      <c r="M45" s="3"/>
      <c r="N45" s="3">
        <v>2500</v>
      </c>
    </row>
    <row r="46" spans="3:16" x14ac:dyDescent="0.2">
      <c r="C46" t="s">
        <v>116</v>
      </c>
      <c r="F46" s="8">
        <v>3000</v>
      </c>
      <c r="G46" s="3"/>
      <c r="H46" s="3">
        <v>150</v>
      </c>
      <c r="J46" s="3">
        <v>3000</v>
      </c>
      <c r="K46" s="3"/>
      <c r="L46" s="3">
        <v>7</v>
      </c>
      <c r="M46" s="3"/>
      <c r="N46" s="3">
        <v>3000</v>
      </c>
    </row>
    <row r="47" spans="3:16" x14ac:dyDescent="0.2">
      <c r="D47" t="s">
        <v>118</v>
      </c>
      <c r="F47" s="3">
        <v>600</v>
      </c>
      <c r="G47" s="3"/>
      <c r="H47" s="3">
        <v>0</v>
      </c>
      <c r="J47" s="3">
        <v>400</v>
      </c>
      <c r="K47" s="3"/>
      <c r="L47" s="3">
        <v>48</v>
      </c>
      <c r="M47" s="3"/>
      <c r="N47" s="3">
        <v>400</v>
      </c>
    </row>
    <row r="48" spans="3:16" x14ac:dyDescent="0.2">
      <c r="C48" t="s">
        <v>35</v>
      </c>
      <c r="F48" s="3">
        <v>600</v>
      </c>
      <c r="G48" s="3"/>
      <c r="H48" s="3">
        <v>0</v>
      </c>
      <c r="J48" s="3">
        <v>400</v>
      </c>
      <c r="K48" s="3"/>
      <c r="L48" s="3">
        <v>0</v>
      </c>
      <c r="M48" s="3"/>
      <c r="N48" s="3">
        <v>400</v>
      </c>
    </row>
    <row r="49" spans="3:14" x14ac:dyDescent="0.2">
      <c r="D49" t="s">
        <v>36</v>
      </c>
      <c r="F49" s="3">
        <v>600</v>
      </c>
      <c r="G49" s="3"/>
      <c r="H49" s="3">
        <v>0</v>
      </c>
      <c r="J49" s="3">
        <v>400</v>
      </c>
      <c r="K49" s="3"/>
      <c r="L49" s="3">
        <v>55</v>
      </c>
      <c r="M49" s="3"/>
      <c r="N49" s="3">
        <v>400</v>
      </c>
    </row>
    <row r="50" spans="3:14" x14ac:dyDescent="0.2">
      <c r="C50" t="s">
        <v>37</v>
      </c>
      <c r="F50" s="3">
        <v>600</v>
      </c>
      <c r="G50" s="3"/>
      <c r="H50" s="3">
        <v>16</v>
      </c>
      <c r="J50" s="3">
        <v>700</v>
      </c>
      <c r="K50" s="3"/>
      <c r="L50" s="3">
        <v>0</v>
      </c>
      <c r="M50" s="3"/>
      <c r="N50" s="3">
        <v>700</v>
      </c>
    </row>
    <row r="51" spans="3:14" x14ac:dyDescent="0.2">
      <c r="C51" t="s">
        <v>41</v>
      </c>
      <c r="F51" s="21">
        <v>600</v>
      </c>
      <c r="G51" s="3"/>
      <c r="H51" s="3">
        <v>0</v>
      </c>
      <c r="J51" s="3">
        <v>1000</v>
      </c>
      <c r="K51" s="3"/>
      <c r="L51" s="3">
        <v>0</v>
      </c>
      <c r="M51" s="3"/>
      <c r="N51" s="3">
        <v>1000</v>
      </c>
    </row>
    <row r="52" spans="3:14" x14ac:dyDescent="0.2">
      <c r="D52" t="s">
        <v>42</v>
      </c>
      <c r="F52" s="8">
        <v>1000</v>
      </c>
      <c r="G52" s="3"/>
      <c r="H52" s="3">
        <v>764</v>
      </c>
      <c r="J52" s="3">
        <v>1000</v>
      </c>
      <c r="K52" s="3"/>
      <c r="L52" s="3">
        <v>144</v>
      </c>
      <c r="M52" s="3"/>
      <c r="N52" s="3">
        <v>1000</v>
      </c>
    </row>
    <row r="53" spans="3:14" x14ac:dyDescent="0.2">
      <c r="C53" t="s">
        <v>110</v>
      </c>
      <c r="F53" s="8">
        <f>480*4+200</f>
        <v>2120</v>
      </c>
      <c r="G53" s="3"/>
      <c r="H53" s="3">
        <v>0</v>
      </c>
      <c r="J53" s="3">
        <v>400</v>
      </c>
      <c r="K53" s="3"/>
      <c r="L53" s="3">
        <v>78</v>
      </c>
      <c r="M53" s="3"/>
      <c r="N53" s="3">
        <v>400</v>
      </c>
    </row>
    <row r="54" spans="3:14" x14ac:dyDescent="0.2">
      <c r="C54" t="s">
        <v>39</v>
      </c>
      <c r="F54" s="3">
        <v>600</v>
      </c>
      <c r="G54" s="3"/>
      <c r="H54" s="3">
        <v>46</v>
      </c>
      <c r="J54" s="3">
        <v>400</v>
      </c>
      <c r="K54" s="3"/>
      <c r="L54" s="3">
        <v>35</v>
      </c>
      <c r="M54" s="3"/>
      <c r="N54" s="3">
        <v>400</v>
      </c>
    </row>
    <row r="55" spans="3:14" x14ac:dyDescent="0.2">
      <c r="D55" t="s">
        <v>40</v>
      </c>
      <c r="F55" s="3">
        <v>600</v>
      </c>
      <c r="G55" s="3"/>
      <c r="H55" s="3">
        <v>0</v>
      </c>
      <c r="J55" s="3">
        <v>400</v>
      </c>
      <c r="K55" s="3"/>
      <c r="L55" s="3">
        <v>0</v>
      </c>
      <c r="M55" s="3"/>
      <c r="N55" s="3">
        <v>400</v>
      </c>
    </row>
    <row r="56" spans="3:14" x14ac:dyDescent="0.2">
      <c r="C56" t="s">
        <v>119</v>
      </c>
      <c r="F56" s="3">
        <v>600</v>
      </c>
      <c r="G56" s="3"/>
      <c r="H56" s="3">
        <v>0</v>
      </c>
      <c r="J56" s="3">
        <v>400</v>
      </c>
      <c r="K56" s="3"/>
      <c r="L56" s="3">
        <v>0</v>
      </c>
      <c r="M56" s="3"/>
      <c r="N56" s="3">
        <v>400</v>
      </c>
    </row>
    <row r="57" spans="3:14" x14ac:dyDescent="0.2">
      <c r="D57" t="s">
        <v>120</v>
      </c>
      <c r="F57" s="3">
        <v>600</v>
      </c>
      <c r="G57" s="3"/>
      <c r="H57" s="3">
        <v>0</v>
      </c>
      <c r="J57" s="3">
        <v>400</v>
      </c>
      <c r="K57" s="3"/>
      <c r="L57" s="3">
        <v>112</v>
      </c>
      <c r="M57" s="3"/>
      <c r="N57" s="3">
        <v>400</v>
      </c>
    </row>
    <row r="58" spans="3:14" x14ac:dyDescent="0.2">
      <c r="C58" t="s">
        <v>45</v>
      </c>
      <c r="F58" s="21">
        <v>600</v>
      </c>
      <c r="G58" s="3"/>
      <c r="H58" s="3">
        <v>0</v>
      </c>
      <c r="J58" s="3">
        <v>700</v>
      </c>
      <c r="K58" s="3"/>
      <c r="L58" s="3">
        <v>0</v>
      </c>
      <c r="M58" s="3"/>
      <c r="N58" s="3">
        <v>700</v>
      </c>
    </row>
    <row r="59" spans="3:14" x14ac:dyDescent="0.2">
      <c r="D59" t="s">
        <v>46</v>
      </c>
      <c r="F59" s="21">
        <v>600</v>
      </c>
      <c r="G59" s="3"/>
      <c r="H59" s="3">
        <v>0</v>
      </c>
      <c r="J59" s="3">
        <v>2000</v>
      </c>
      <c r="K59" s="3"/>
      <c r="L59" s="3">
        <v>95</v>
      </c>
      <c r="M59" s="3"/>
      <c r="N59" s="3">
        <v>2000</v>
      </c>
    </row>
    <row r="60" spans="3:14" x14ac:dyDescent="0.2">
      <c r="C60" t="s">
        <v>121</v>
      </c>
      <c r="F60" s="3">
        <v>600</v>
      </c>
      <c r="G60" s="3"/>
      <c r="H60" s="3">
        <v>0</v>
      </c>
      <c r="J60" s="3">
        <v>400</v>
      </c>
      <c r="K60" s="3"/>
      <c r="L60" s="3">
        <v>0</v>
      </c>
      <c r="M60" s="3"/>
      <c r="N60" s="3">
        <v>400</v>
      </c>
    </row>
    <row r="61" spans="3:14" x14ac:dyDescent="0.2">
      <c r="C61" t="s">
        <v>78</v>
      </c>
      <c r="F61" s="8">
        <f>1800+600+500+100+500+100</f>
        <v>3600</v>
      </c>
      <c r="G61" s="3"/>
      <c r="H61" s="3"/>
      <c r="J61" s="3">
        <v>0</v>
      </c>
      <c r="K61" s="3"/>
      <c r="L61" s="3"/>
      <c r="M61" s="3"/>
      <c r="N61" s="3"/>
    </row>
    <row r="62" spans="3:14" x14ac:dyDescent="0.2">
      <c r="C62" t="s">
        <v>122</v>
      </c>
      <c r="F62" s="21">
        <v>600</v>
      </c>
      <c r="G62" s="3"/>
      <c r="H62" s="3">
        <v>0</v>
      </c>
      <c r="J62" s="3">
        <v>1000</v>
      </c>
      <c r="K62" s="3"/>
      <c r="L62" s="3">
        <v>199</v>
      </c>
      <c r="M62" s="3"/>
      <c r="N62" s="3">
        <v>880</v>
      </c>
    </row>
    <row r="63" spans="3:14" x14ac:dyDescent="0.2">
      <c r="D63" t="s">
        <v>123</v>
      </c>
      <c r="F63" s="3">
        <v>600</v>
      </c>
      <c r="G63" s="3"/>
      <c r="H63" s="3">
        <v>0</v>
      </c>
      <c r="J63" s="3">
        <v>400</v>
      </c>
      <c r="K63" s="3"/>
      <c r="L63" s="3">
        <v>0</v>
      </c>
      <c r="M63" s="3"/>
      <c r="N63" s="3">
        <v>400</v>
      </c>
    </row>
    <row r="64" spans="3:14" x14ac:dyDescent="0.2">
      <c r="C64" t="s">
        <v>124</v>
      </c>
      <c r="F64" s="21">
        <v>600</v>
      </c>
      <c r="G64" s="3"/>
      <c r="H64" s="3">
        <v>0</v>
      </c>
      <c r="J64" s="3">
        <v>1500</v>
      </c>
      <c r="K64" s="3"/>
      <c r="L64" s="3">
        <v>0</v>
      </c>
      <c r="M64" s="3"/>
      <c r="N64" s="3">
        <v>1500</v>
      </c>
    </row>
    <row r="65" spans="2:14" x14ac:dyDescent="0.2">
      <c r="B65" t="s">
        <v>99</v>
      </c>
      <c r="F65" s="10">
        <f>SUM(F32:F64)</f>
        <v>36085</v>
      </c>
      <c r="G65" s="3"/>
      <c r="H65" s="10">
        <f>SUM(H32:H64)</f>
        <v>6911</v>
      </c>
      <c r="J65" s="10">
        <f>SUM(J32:J64)</f>
        <v>34205</v>
      </c>
      <c r="K65" s="3"/>
      <c r="L65" s="10">
        <f>SUM(L32:L64)</f>
        <v>5288</v>
      </c>
      <c r="M65" s="3"/>
      <c r="N65" s="10">
        <f>SUM(N32:N64)</f>
        <v>34140</v>
      </c>
    </row>
    <row r="66" spans="2:14" ht="22.5" customHeight="1" x14ac:dyDescent="0.2">
      <c r="B66" t="s">
        <v>51</v>
      </c>
      <c r="F66" s="3"/>
      <c r="G66" s="3"/>
      <c r="H66" s="3"/>
      <c r="J66" s="3"/>
      <c r="K66" s="3"/>
      <c r="L66" s="3"/>
      <c r="M66" s="3"/>
      <c r="N66" s="3"/>
    </row>
    <row r="67" spans="2:14" x14ac:dyDescent="0.2">
      <c r="C67" t="s">
        <v>125</v>
      </c>
      <c r="F67" s="8">
        <v>2000</v>
      </c>
      <c r="G67" s="3"/>
      <c r="H67" s="3">
        <v>584</v>
      </c>
      <c r="J67" s="3">
        <v>2000</v>
      </c>
      <c r="K67" s="3"/>
      <c r="L67" s="3">
        <v>29</v>
      </c>
      <c r="M67" s="3"/>
      <c r="N67" s="3">
        <v>2000</v>
      </c>
    </row>
    <row r="68" spans="2:14" x14ac:dyDescent="0.2">
      <c r="C68" t="s">
        <v>126</v>
      </c>
      <c r="F68" s="8">
        <v>1200</v>
      </c>
      <c r="G68" s="3"/>
      <c r="H68" s="3">
        <v>634</v>
      </c>
      <c r="J68" s="3">
        <v>1200</v>
      </c>
      <c r="K68" s="3"/>
      <c r="L68" s="3">
        <v>397</v>
      </c>
      <c r="M68" s="3"/>
      <c r="N68" s="3">
        <v>1200</v>
      </c>
    </row>
    <row r="69" spans="2:14" x14ac:dyDescent="0.2">
      <c r="C69" t="s">
        <v>71</v>
      </c>
      <c r="F69" s="8">
        <v>5800</v>
      </c>
      <c r="G69" s="3"/>
      <c r="H69" s="3">
        <v>1356</v>
      </c>
      <c r="J69" s="3">
        <v>5800</v>
      </c>
      <c r="K69" s="3"/>
      <c r="L69" s="3">
        <v>514</v>
      </c>
      <c r="M69" s="3"/>
      <c r="N69" s="3">
        <v>5800</v>
      </c>
    </row>
    <row r="70" spans="2:14" x14ac:dyDescent="0.2">
      <c r="C70" t="s">
        <v>127</v>
      </c>
      <c r="F70" s="8">
        <v>1100</v>
      </c>
      <c r="G70" s="3"/>
      <c r="H70" s="3">
        <v>160</v>
      </c>
      <c r="J70" s="3">
        <v>1100</v>
      </c>
      <c r="K70" s="3"/>
      <c r="L70" s="3">
        <v>0</v>
      </c>
      <c r="M70" s="3"/>
      <c r="N70" s="3">
        <v>1100</v>
      </c>
    </row>
    <row r="71" spans="2:14" x14ac:dyDescent="0.2">
      <c r="C71" t="s">
        <v>56</v>
      </c>
      <c r="F71" s="8">
        <v>1400</v>
      </c>
      <c r="G71" s="3"/>
      <c r="H71" s="3">
        <v>425</v>
      </c>
      <c r="J71" s="3">
        <v>1400</v>
      </c>
      <c r="K71" s="3"/>
      <c r="L71" s="3">
        <v>382</v>
      </c>
      <c r="M71" s="3"/>
      <c r="N71" s="3">
        <v>1400</v>
      </c>
    </row>
    <row r="72" spans="2:14" x14ac:dyDescent="0.2">
      <c r="C72" t="s">
        <v>57</v>
      </c>
      <c r="F72" s="8">
        <v>2200</v>
      </c>
      <c r="G72" s="3"/>
      <c r="H72" s="3">
        <v>159</v>
      </c>
      <c r="J72" s="3">
        <v>2200</v>
      </c>
      <c r="K72" s="3"/>
      <c r="L72" s="3">
        <v>494</v>
      </c>
      <c r="M72" s="3"/>
      <c r="N72" s="3">
        <v>2200</v>
      </c>
    </row>
    <row r="73" spans="2:14" x14ac:dyDescent="0.2">
      <c r="C73" t="s">
        <v>128</v>
      </c>
      <c r="F73" s="8">
        <v>2200</v>
      </c>
      <c r="G73" s="3"/>
      <c r="H73" s="3">
        <v>1376</v>
      </c>
      <c r="J73" s="3">
        <v>2200</v>
      </c>
      <c r="K73" s="3"/>
      <c r="L73" s="3">
        <v>963</v>
      </c>
      <c r="M73" s="3"/>
      <c r="N73" s="3">
        <v>2200</v>
      </c>
    </row>
    <row r="74" spans="2:14" x14ac:dyDescent="0.2">
      <c r="B74" t="s">
        <v>100</v>
      </c>
      <c r="F74" s="10">
        <f>SUM(F66:F73)</f>
        <v>15900</v>
      </c>
      <c r="G74" s="3"/>
      <c r="H74" s="10">
        <f>SUM(H66:H73)</f>
        <v>4694</v>
      </c>
      <c r="J74" s="10">
        <f>SUM(J66:J73)</f>
        <v>15900</v>
      </c>
      <c r="K74" s="3"/>
      <c r="L74" s="10">
        <f>SUM(L66:L73)</f>
        <v>2779</v>
      </c>
      <c r="M74" s="3"/>
      <c r="N74" s="10">
        <f>SUM(N66:N73)</f>
        <v>15900</v>
      </c>
    </row>
    <row r="75" spans="2:14" ht="22.5" customHeight="1" x14ac:dyDescent="0.2">
      <c r="B75" t="s">
        <v>148</v>
      </c>
      <c r="F75" s="3"/>
      <c r="G75" s="3"/>
      <c r="H75" s="3"/>
      <c r="J75" s="3"/>
      <c r="K75" s="3"/>
      <c r="L75" s="3"/>
      <c r="M75" s="3"/>
      <c r="N75" s="3"/>
    </row>
    <row r="76" spans="2:14" x14ac:dyDescent="0.2">
      <c r="C76" t="s">
        <v>146</v>
      </c>
      <c r="F76" s="9">
        <f>1100*12</f>
        <v>13200</v>
      </c>
      <c r="G76" s="3"/>
      <c r="H76" s="3">
        <v>11605</v>
      </c>
      <c r="J76" s="3">
        <v>13000</v>
      </c>
      <c r="K76" s="3"/>
      <c r="L76" s="3">
        <v>9497</v>
      </c>
      <c r="M76" s="3"/>
      <c r="N76" s="3">
        <v>15000</v>
      </c>
    </row>
    <row r="77" spans="2:14" x14ac:dyDescent="0.2">
      <c r="C77" t="s">
        <v>79</v>
      </c>
      <c r="F77" s="3">
        <f>250*12</f>
        <v>3000</v>
      </c>
      <c r="G77" s="3"/>
      <c r="H77" s="3">
        <v>2289</v>
      </c>
      <c r="J77" s="3">
        <v>3000</v>
      </c>
      <c r="K77" s="3"/>
      <c r="L77" s="3">
        <v>2375</v>
      </c>
      <c r="M77" s="3"/>
      <c r="N77" s="3">
        <v>3000</v>
      </c>
    </row>
    <row r="78" spans="2:14" x14ac:dyDescent="0.2">
      <c r="C78" t="s">
        <v>147</v>
      </c>
      <c r="F78" s="3">
        <f>2800+2500</f>
        <v>5300</v>
      </c>
      <c r="G78" s="3"/>
      <c r="H78" s="3">
        <v>3093</v>
      </c>
      <c r="J78" s="3">
        <f>2800+2500</f>
        <v>5300</v>
      </c>
      <c r="K78" s="3"/>
      <c r="L78" s="3">
        <f>1563+1399</f>
        <v>2962</v>
      </c>
      <c r="M78" s="3"/>
      <c r="N78" s="3">
        <f>2300+2500</f>
        <v>4800</v>
      </c>
    </row>
    <row r="79" spans="2:14" x14ac:dyDescent="0.2">
      <c r="C79" t="s">
        <v>129</v>
      </c>
      <c r="F79" s="9">
        <v>3000</v>
      </c>
      <c r="G79" s="3"/>
      <c r="H79" s="3">
        <v>1628</v>
      </c>
      <c r="J79" s="3">
        <v>1500</v>
      </c>
      <c r="K79" s="3"/>
      <c r="L79" s="3">
        <v>0</v>
      </c>
      <c r="M79" s="3"/>
      <c r="N79" s="3">
        <v>1500</v>
      </c>
    </row>
    <row r="80" spans="2:14" x14ac:dyDescent="0.2">
      <c r="B80" t="s">
        <v>114</v>
      </c>
      <c r="F80" s="10">
        <f>SUM(F75:F79)</f>
        <v>24500</v>
      </c>
      <c r="G80" s="3"/>
      <c r="H80" s="10">
        <f>SUM(H75:H79)</f>
        <v>18615</v>
      </c>
      <c r="J80" s="10">
        <f>SUM(J75:J79)</f>
        <v>22800</v>
      </c>
      <c r="K80" s="3"/>
      <c r="L80" s="10">
        <f>SUM(L75:L79)</f>
        <v>14834</v>
      </c>
      <c r="M80" s="3"/>
      <c r="N80" s="10">
        <f>SUM(N75:N79)</f>
        <v>24300</v>
      </c>
    </row>
    <row r="81" spans="1:14" ht="22.5" customHeight="1" x14ac:dyDescent="0.2">
      <c r="B81" t="s">
        <v>136</v>
      </c>
      <c r="F81" s="3"/>
      <c r="G81" s="3"/>
      <c r="H81" s="3"/>
      <c r="J81" s="3"/>
      <c r="K81" s="3"/>
      <c r="L81" s="3"/>
      <c r="M81" s="3"/>
      <c r="N81" s="3"/>
    </row>
    <row r="82" spans="1:14" x14ac:dyDescent="0.2">
      <c r="C82" t="s">
        <v>134</v>
      </c>
      <c r="F82" s="3">
        <v>0</v>
      </c>
      <c r="G82" s="3"/>
      <c r="H82" s="3">
        <v>12</v>
      </c>
      <c r="J82" s="3">
        <v>0</v>
      </c>
      <c r="K82" s="3"/>
      <c r="L82" s="3">
        <v>0</v>
      </c>
      <c r="M82" s="3"/>
      <c r="N82" s="3">
        <v>0</v>
      </c>
    </row>
    <row r="83" spans="1:14" x14ac:dyDescent="0.2">
      <c r="C83" t="s">
        <v>135</v>
      </c>
      <c r="F83" s="3">
        <f>200+750</f>
        <v>950</v>
      </c>
      <c r="G83" s="3"/>
      <c r="H83" s="9">
        <v>225</v>
      </c>
      <c r="J83" s="3">
        <f>200+750-100</f>
        <v>850</v>
      </c>
      <c r="K83" s="3"/>
      <c r="L83" s="3">
        <v>703</v>
      </c>
      <c r="M83" s="3"/>
      <c r="N83" s="3">
        <f>200+600-100</f>
        <v>700</v>
      </c>
    </row>
    <row r="84" spans="1:14" x14ac:dyDescent="0.2">
      <c r="C84" t="s">
        <v>132</v>
      </c>
      <c r="F84" s="9">
        <v>2000</v>
      </c>
      <c r="G84" s="3"/>
      <c r="H84" s="3">
        <v>1715</v>
      </c>
      <c r="J84" s="3">
        <v>2000</v>
      </c>
      <c r="K84" s="3"/>
      <c r="L84" s="3">
        <v>0</v>
      </c>
      <c r="M84" s="3"/>
      <c r="N84" s="3">
        <v>2000</v>
      </c>
    </row>
    <row r="85" spans="1:14" x14ac:dyDescent="0.2">
      <c r="C85" t="s">
        <v>137</v>
      </c>
      <c r="F85" s="5">
        <v>1200</v>
      </c>
      <c r="G85" s="3"/>
      <c r="H85" s="3">
        <v>0</v>
      </c>
      <c r="J85" s="3">
        <v>0</v>
      </c>
      <c r="K85" s="3"/>
      <c r="L85" s="3">
        <v>0</v>
      </c>
      <c r="M85" s="3"/>
      <c r="N85" s="3">
        <v>0</v>
      </c>
    </row>
    <row r="86" spans="1:14" x14ac:dyDescent="0.2">
      <c r="C86" t="s">
        <v>138</v>
      </c>
      <c r="F86" s="3">
        <v>200</v>
      </c>
      <c r="G86" s="3"/>
      <c r="H86" s="3">
        <v>14</v>
      </c>
      <c r="J86" s="3">
        <v>100</v>
      </c>
      <c r="K86" s="3"/>
      <c r="L86" s="3">
        <v>0</v>
      </c>
      <c r="M86" s="3"/>
      <c r="N86" s="3">
        <v>100</v>
      </c>
    </row>
    <row r="87" spans="1:14" x14ac:dyDescent="0.2">
      <c r="B87" t="s">
        <v>133</v>
      </c>
      <c r="C87" s="2"/>
      <c r="F87" s="10">
        <f>SUM(F81:F86)</f>
        <v>4350</v>
      </c>
      <c r="G87" s="3"/>
      <c r="H87" s="10">
        <f>SUM(H81:H86)</f>
        <v>1966</v>
      </c>
      <c r="J87" s="10">
        <f>SUM(J81:J86)</f>
        <v>2950</v>
      </c>
      <c r="K87" s="3"/>
      <c r="L87" s="10">
        <f>SUM(L81:L86)</f>
        <v>703</v>
      </c>
      <c r="M87" s="3"/>
      <c r="N87" s="10">
        <f>SUM(N81:N86)</f>
        <v>2800</v>
      </c>
    </row>
    <row r="88" spans="1:14" ht="22.5" customHeight="1" x14ac:dyDescent="0.2">
      <c r="B88" t="s">
        <v>140</v>
      </c>
      <c r="F88" s="3">
        <v>3200</v>
      </c>
      <c r="G88" s="3"/>
      <c r="H88" s="3">
        <v>8200</v>
      </c>
      <c r="J88" s="3">
        <v>8200</v>
      </c>
      <c r="K88" s="3"/>
      <c r="L88" s="3">
        <v>3200</v>
      </c>
      <c r="M88" s="3"/>
      <c r="N88" s="3">
        <v>3200</v>
      </c>
    </row>
    <row r="89" spans="1:14" ht="22.5" customHeight="1" x14ac:dyDescent="0.2">
      <c r="B89" t="s">
        <v>141</v>
      </c>
      <c r="F89" s="3">
        <v>0</v>
      </c>
      <c r="G89" s="3"/>
      <c r="H89" s="3">
        <v>0</v>
      </c>
      <c r="J89" s="3">
        <v>0</v>
      </c>
      <c r="K89" s="3"/>
      <c r="L89" s="3">
        <v>0</v>
      </c>
      <c r="M89" s="3"/>
      <c r="N89" s="3">
        <v>0</v>
      </c>
    </row>
    <row r="90" spans="1:14" ht="22.5" customHeight="1" x14ac:dyDescent="0.2">
      <c r="B90" t="s">
        <v>142</v>
      </c>
      <c r="F90" s="3"/>
      <c r="G90" s="3"/>
      <c r="H90" s="3"/>
      <c r="J90" s="3"/>
      <c r="K90" s="3"/>
      <c r="L90" s="3"/>
      <c r="M90" s="3"/>
      <c r="N90" s="3"/>
    </row>
    <row r="91" spans="1:14" x14ac:dyDescent="0.2">
      <c r="C91" t="s">
        <v>71</v>
      </c>
      <c r="F91" s="3">
        <f>1100-1100</f>
        <v>0</v>
      </c>
      <c r="G91" s="3"/>
      <c r="H91" s="3">
        <v>0</v>
      </c>
      <c r="J91" s="3">
        <v>0</v>
      </c>
      <c r="K91" s="3"/>
      <c r="L91" s="3">
        <v>932</v>
      </c>
      <c r="M91" s="3"/>
      <c r="N91" s="3">
        <v>1100</v>
      </c>
    </row>
    <row r="92" spans="1:14" x14ac:dyDescent="0.2">
      <c r="C92" t="s">
        <v>139</v>
      </c>
      <c r="F92" s="3">
        <f>3000-3000</f>
        <v>0</v>
      </c>
      <c r="G92" s="3"/>
      <c r="H92" s="3">
        <v>0</v>
      </c>
      <c r="J92" s="3">
        <v>0</v>
      </c>
      <c r="K92" s="3"/>
      <c r="L92" s="3">
        <v>2350</v>
      </c>
      <c r="M92" s="3"/>
      <c r="N92" s="3">
        <v>3000</v>
      </c>
    </row>
    <row r="93" spans="1:14" x14ac:dyDescent="0.2">
      <c r="C93" t="s">
        <v>158</v>
      </c>
      <c r="F93" s="3">
        <f>100*29-2900</f>
        <v>0</v>
      </c>
      <c r="G93" s="3"/>
      <c r="H93" s="3">
        <v>0</v>
      </c>
      <c r="J93" s="3">
        <v>0</v>
      </c>
      <c r="K93" s="3"/>
      <c r="L93" s="3">
        <v>0</v>
      </c>
      <c r="M93" s="3"/>
      <c r="N93" s="3">
        <v>0</v>
      </c>
    </row>
    <row r="94" spans="1:14" x14ac:dyDescent="0.2">
      <c r="B94" t="s">
        <v>154</v>
      </c>
      <c r="C94" s="2"/>
      <c r="F94" s="10">
        <f>SUM(F90:F93)</f>
        <v>0</v>
      </c>
      <c r="G94" s="3"/>
      <c r="H94" s="10">
        <f>SUM(H90:H93)</f>
        <v>0</v>
      </c>
      <c r="J94" s="10">
        <f>SUM(J90:J93)</f>
        <v>0</v>
      </c>
      <c r="K94" s="3"/>
      <c r="L94" s="10">
        <f>SUM(L90:L93)</f>
        <v>3282</v>
      </c>
      <c r="M94" s="3"/>
      <c r="N94" s="10">
        <f>SUM(N90:N93)</f>
        <v>4100</v>
      </c>
    </row>
    <row r="95" spans="1:14" ht="22.5" customHeight="1" x14ac:dyDescent="0.2">
      <c r="A95" s="11" t="s">
        <v>80</v>
      </c>
      <c r="F95" s="7">
        <f>F30+F65+F74+F80+SUM(F87:F89)+F94</f>
        <v>119035</v>
      </c>
      <c r="G95" s="3"/>
      <c r="H95" s="7">
        <f>H30+H65+H74+H80+SUM(H87:H89)+H94</f>
        <v>58790</v>
      </c>
      <c r="J95" s="7">
        <f>J30+J65+J74+J80+SUM(J87:J89)+J94</f>
        <v>117655</v>
      </c>
      <c r="K95" s="3"/>
      <c r="L95" s="7">
        <f>L30+L65+L74+L80+SUM(L87:L89)+L94</f>
        <v>35770</v>
      </c>
      <c r="M95" s="3"/>
      <c r="N95" s="7">
        <f>N30+N65+N74+N80+SUM(N87:N89)+N94</f>
        <v>116740</v>
      </c>
    </row>
    <row r="96" spans="1:14" x14ac:dyDescent="0.2">
      <c r="G96" s="3"/>
      <c r="H96" s="5">
        <f>H95-58790</f>
        <v>0</v>
      </c>
      <c r="J96" s="5">
        <f>J95-117655</f>
        <v>0</v>
      </c>
      <c r="K96" s="3"/>
      <c r="L96" s="3"/>
      <c r="M96" s="3"/>
      <c r="N96" s="3"/>
    </row>
    <row r="97" spans="3:14" ht="16" thickBot="1" x14ac:dyDescent="0.25">
      <c r="C97" s="11" t="s">
        <v>82</v>
      </c>
      <c r="F97" s="13">
        <f>F13-F95</f>
        <v>15465</v>
      </c>
      <c r="G97" s="3"/>
      <c r="H97" s="13">
        <f>H13-H95</f>
        <v>64679</v>
      </c>
      <c r="J97" s="13">
        <f>J13-J95</f>
        <v>1149</v>
      </c>
      <c r="L97" s="13">
        <f>L13-L95</f>
        <v>62890</v>
      </c>
      <c r="N97" s="13">
        <f>N13-N95</f>
        <v>-1081</v>
      </c>
    </row>
    <row r="98" spans="3:14" ht="16" thickTop="1" x14ac:dyDescent="0.2">
      <c r="F98" s="22">
        <f>ROUND(F97-12465-600+3000-7000+0+1500-600+900-600+1000-600,2)</f>
        <v>0</v>
      </c>
      <c r="H98" s="22">
        <f>ROUND(H97-16075-48604,2)</f>
        <v>0</v>
      </c>
      <c r="J98" s="17">
        <f>ROUND(J97-1149,2)</f>
        <v>0</v>
      </c>
      <c r="L98" s="17">
        <f>ROUND(L97-62890,2)</f>
        <v>0</v>
      </c>
      <c r="N98" s="17">
        <f>ROUND(N97+1081,2)</f>
        <v>0</v>
      </c>
    </row>
  </sheetData>
  <pageMargins left="0.45" right="0.25" top="0.7" bottom="0.6" header="0.3" footer="0.3"/>
  <pageSetup scale="86" fitToHeight="0"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1"/>
  <sheetViews>
    <sheetView topLeftCell="A13" workbookViewId="0">
      <selection activeCell="E12" sqref="E12"/>
    </sheetView>
  </sheetViews>
  <sheetFormatPr baseColWidth="10" defaultColWidth="8.83203125" defaultRowHeight="15" x14ac:dyDescent="0.2"/>
  <cols>
    <col min="1" max="1" width="5.33203125" customWidth="1"/>
  </cols>
  <sheetData>
    <row r="1" spans="1:11" x14ac:dyDescent="0.2">
      <c r="A1" t="s">
        <v>8</v>
      </c>
    </row>
    <row r="3" spans="1:11" x14ac:dyDescent="0.2">
      <c r="F3" t="s">
        <v>9</v>
      </c>
      <c r="I3" t="s">
        <v>10</v>
      </c>
      <c r="K3" t="s">
        <v>11</v>
      </c>
    </row>
    <row r="4" spans="1:11" x14ac:dyDescent="0.2">
      <c r="A4" t="s">
        <v>0</v>
      </c>
    </row>
    <row r="5" spans="1:11" x14ac:dyDescent="0.2">
      <c r="A5" t="s">
        <v>1</v>
      </c>
      <c r="F5">
        <v>1000</v>
      </c>
      <c r="I5">
        <v>2406</v>
      </c>
      <c r="K5">
        <v>3200</v>
      </c>
    </row>
    <row r="6" spans="1:11" x14ac:dyDescent="0.2">
      <c r="A6" t="s">
        <v>2</v>
      </c>
      <c r="F6">
        <v>1200</v>
      </c>
      <c r="I6">
        <v>1243</v>
      </c>
      <c r="K6">
        <v>1600</v>
      </c>
    </row>
    <row r="7" spans="1:11" x14ac:dyDescent="0.2">
      <c r="A7" t="s">
        <v>3</v>
      </c>
      <c r="F7">
        <v>75000</v>
      </c>
      <c r="I7">
        <v>46125</v>
      </c>
      <c r="K7">
        <v>61000</v>
      </c>
    </row>
    <row r="8" spans="1:11" x14ac:dyDescent="0.2">
      <c r="A8" t="s">
        <v>4</v>
      </c>
      <c r="F8">
        <v>1300</v>
      </c>
      <c r="I8">
        <v>1410</v>
      </c>
      <c r="K8">
        <v>1800</v>
      </c>
    </row>
    <row r="9" spans="1:11" x14ac:dyDescent="0.2">
      <c r="A9" t="s">
        <v>5</v>
      </c>
      <c r="F9">
        <v>6500</v>
      </c>
      <c r="I9">
        <v>1223</v>
      </c>
      <c r="K9">
        <v>3250</v>
      </c>
    </row>
    <row r="10" spans="1:11" x14ac:dyDescent="0.2">
      <c r="A10" t="s">
        <v>7</v>
      </c>
      <c r="F10">
        <v>85000</v>
      </c>
      <c r="I10">
        <v>52407</v>
      </c>
      <c r="K10">
        <v>70850</v>
      </c>
    </row>
    <row r="11" spans="1:11" x14ac:dyDescent="0.2">
      <c r="A11" t="s">
        <v>6</v>
      </c>
      <c r="F11">
        <v>30659</v>
      </c>
      <c r="I11">
        <v>46253</v>
      </c>
      <c r="K11">
        <v>50000</v>
      </c>
    </row>
    <row r="12" spans="1:11" x14ac:dyDescent="0.2">
      <c r="A12" t="s">
        <v>77</v>
      </c>
      <c r="F12">
        <v>115659</v>
      </c>
      <c r="I12">
        <v>98660</v>
      </c>
      <c r="K12">
        <v>120850</v>
      </c>
    </row>
    <row r="14" spans="1:11" x14ac:dyDescent="0.2">
      <c r="A14" t="s">
        <v>12</v>
      </c>
    </row>
    <row r="15" spans="1:11" x14ac:dyDescent="0.2">
      <c r="A15" t="s">
        <v>13</v>
      </c>
      <c r="F15">
        <v>14400</v>
      </c>
      <c r="I15">
        <v>3443</v>
      </c>
      <c r="K15">
        <v>10800</v>
      </c>
    </row>
    <row r="16" spans="1:11" x14ac:dyDescent="0.2">
      <c r="A16" t="s">
        <v>14</v>
      </c>
      <c r="F16">
        <v>3600</v>
      </c>
      <c r="I16">
        <v>490</v>
      </c>
      <c r="K16">
        <v>3000</v>
      </c>
    </row>
    <row r="17" spans="1:11" x14ac:dyDescent="0.2">
      <c r="A17" t="s">
        <v>15</v>
      </c>
      <c r="F17">
        <v>1600</v>
      </c>
      <c r="I17">
        <v>0</v>
      </c>
      <c r="K17">
        <v>1600</v>
      </c>
    </row>
    <row r="18" spans="1:11" x14ac:dyDescent="0.2">
      <c r="A18" t="s">
        <v>16</v>
      </c>
      <c r="F18">
        <v>1800</v>
      </c>
      <c r="I18">
        <v>0</v>
      </c>
      <c r="K18">
        <v>1800</v>
      </c>
    </row>
    <row r="19" spans="1:11" x14ac:dyDescent="0.2">
      <c r="A19" t="s">
        <v>17</v>
      </c>
      <c r="F19">
        <v>0</v>
      </c>
      <c r="I19">
        <v>0</v>
      </c>
      <c r="K19">
        <v>1800</v>
      </c>
    </row>
    <row r="20" spans="1:11" x14ac:dyDescent="0.2">
      <c r="A20" t="s">
        <v>18</v>
      </c>
      <c r="F20">
        <v>1600</v>
      </c>
      <c r="I20">
        <v>0</v>
      </c>
      <c r="K20">
        <v>1600</v>
      </c>
    </row>
    <row r="21" spans="1:11" x14ac:dyDescent="0.2">
      <c r="A21" t="s">
        <v>19</v>
      </c>
      <c r="F21">
        <v>600</v>
      </c>
      <c r="I21">
        <v>7</v>
      </c>
      <c r="K21">
        <v>500</v>
      </c>
    </row>
    <row r="22" spans="1:11" x14ac:dyDescent="0.2">
      <c r="A22" t="s">
        <v>20</v>
      </c>
      <c r="F22">
        <v>23600</v>
      </c>
      <c r="I22">
        <v>3969</v>
      </c>
      <c r="K22">
        <v>21100</v>
      </c>
    </row>
    <row r="24" spans="1:11" x14ac:dyDescent="0.2">
      <c r="A24" t="s">
        <v>21</v>
      </c>
    </row>
    <row r="25" spans="1:11" x14ac:dyDescent="0.2">
      <c r="A25" t="s">
        <v>24</v>
      </c>
      <c r="F25">
        <v>600</v>
      </c>
      <c r="I25">
        <v>0</v>
      </c>
      <c r="K25">
        <v>600</v>
      </c>
    </row>
    <row r="26" spans="1:11" x14ac:dyDescent="0.2">
      <c r="A26" t="s">
        <v>25</v>
      </c>
      <c r="F26">
        <v>400</v>
      </c>
      <c r="I26">
        <v>0</v>
      </c>
      <c r="K26">
        <v>400</v>
      </c>
    </row>
    <row r="27" spans="1:11" x14ac:dyDescent="0.2">
      <c r="A27" t="s">
        <v>22</v>
      </c>
      <c r="F27">
        <v>150</v>
      </c>
      <c r="I27">
        <v>0</v>
      </c>
      <c r="K27">
        <v>300</v>
      </c>
    </row>
    <row r="28" spans="1:11" x14ac:dyDescent="0.2">
      <c r="A28" t="s">
        <v>23</v>
      </c>
      <c r="F28">
        <v>5655</v>
      </c>
      <c r="I28">
        <v>1696</v>
      </c>
      <c r="K28">
        <v>2900</v>
      </c>
    </row>
    <row r="29" spans="1:11" x14ac:dyDescent="0.2">
      <c r="A29" t="s">
        <v>26</v>
      </c>
      <c r="F29">
        <v>150</v>
      </c>
      <c r="I29">
        <v>0</v>
      </c>
      <c r="K29">
        <v>150</v>
      </c>
    </row>
    <row r="30" spans="1:11" x14ac:dyDescent="0.2">
      <c r="A30" t="s">
        <v>27</v>
      </c>
      <c r="F30">
        <v>400</v>
      </c>
      <c r="I30">
        <v>84</v>
      </c>
      <c r="K30">
        <v>400</v>
      </c>
    </row>
    <row r="31" spans="1:11" x14ac:dyDescent="0.2">
      <c r="A31" t="s">
        <v>28</v>
      </c>
      <c r="F31">
        <v>1200</v>
      </c>
      <c r="I31">
        <v>228</v>
      </c>
      <c r="K31">
        <v>1200</v>
      </c>
    </row>
    <row r="32" spans="1:11" x14ac:dyDescent="0.2">
      <c r="A32" t="s">
        <v>29</v>
      </c>
      <c r="F32">
        <v>2800</v>
      </c>
      <c r="I32">
        <v>2021</v>
      </c>
      <c r="K32">
        <v>2800</v>
      </c>
    </row>
    <row r="33" spans="1:11" x14ac:dyDescent="0.2">
      <c r="A33" t="s">
        <v>30</v>
      </c>
      <c r="F33">
        <v>3105</v>
      </c>
      <c r="I33">
        <v>34</v>
      </c>
      <c r="K33">
        <v>3105</v>
      </c>
    </row>
    <row r="34" spans="1:11" x14ac:dyDescent="0.2">
      <c r="A34" t="s">
        <v>31</v>
      </c>
      <c r="F34">
        <v>1500</v>
      </c>
      <c r="I34">
        <v>0</v>
      </c>
      <c r="K34">
        <v>1500</v>
      </c>
    </row>
    <row r="35" spans="1:11" x14ac:dyDescent="0.2">
      <c r="A35" t="s">
        <v>33</v>
      </c>
      <c r="F35">
        <v>3000</v>
      </c>
      <c r="I35">
        <v>7</v>
      </c>
      <c r="K35">
        <v>3000</v>
      </c>
    </row>
    <row r="36" spans="1:11" x14ac:dyDescent="0.2">
      <c r="A36" t="s">
        <v>32</v>
      </c>
      <c r="F36">
        <v>400</v>
      </c>
      <c r="I36">
        <v>48</v>
      </c>
      <c r="K36">
        <v>400</v>
      </c>
    </row>
    <row r="37" spans="1:11" x14ac:dyDescent="0.2">
      <c r="A37" t="s">
        <v>34</v>
      </c>
      <c r="F37">
        <v>2500</v>
      </c>
      <c r="I37">
        <v>452</v>
      </c>
      <c r="K37">
        <v>2500</v>
      </c>
    </row>
    <row r="38" spans="1:11" x14ac:dyDescent="0.2">
      <c r="A38" t="s">
        <v>35</v>
      </c>
      <c r="F38">
        <v>400</v>
      </c>
      <c r="I38">
        <v>0</v>
      </c>
      <c r="K38">
        <v>400</v>
      </c>
    </row>
    <row r="39" spans="1:11" x14ac:dyDescent="0.2">
      <c r="A39" t="s">
        <v>36</v>
      </c>
      <c r="F39">
        <v>400</v>
      </c>
      <c r="I39">
        <v>55</v>
      </c>
      <c r="K39">
        <v>400</v>
      </c>
    </row>
    <row r="40" spans="1:11" x14ac:dyDescent="0.2">
      <c r="A40" t="s">
        <v>37</v>
      </c>
      <c r="F40">
        <v>700</v>
      </c>
      <c r="I40">
        <v>0</v>
      </c>
      <c r="K40">
        <v>700</v>
      </c>
    </row>
    <row r="41" spans="1:11" x14ac:dyDescent="0.2">
      <c r="A41" t="s">
        <v>38</v>
      </c>
      <c r="F41">
        <v>400</v>
      </c>
      <c r="I41">
        <v>78</v>
      </c>
      <c r="K41">
        <v>400</v>
      </c>
    </row>
    <row r="42" spans="1:11" x14ac:dyDescent="0.2">
      <c r="A42" t="s">
        <v>39</v>
      </c>
      <c r="F42">
        <v>400</v>
      </c>
      <c r="I42">
        <v>35</v>
      </c>
      <c r="K42">
        <v>400</v>
      </c>
    </row>
    <row r="43" spans="1:11" x14ac:dyDescent="0.2">
      <c r="A43" t="s">
        <v>40</v>
      </c>
      <c r="F43">
        <v>400</v>
      </c>
      <c r="I43">
        <v>0</v>
      </c>
      <c r="K43">
        <v>400</v>
      </c>
    </row>
    <row r="44" spans="1:11" x14ac:dyDescent="0.2">
      <c r="A44" t="s">
        <v>41</v>
      </c>
      <c r="F44">
        <v>1000</v>
      </c>
      <c r="I44">
        <v>0</v>
      </c>
      <c r="K44">
        <v>1000</v>
      </c>
    </row>
    <row r="45" spans="1:11" x14ac:dyDescent="0.2">
      <c r="A45" t="s">
        <v>42</v>
      </c>
      <c r="F45">
        <v>1000</v>
      </c>
      <c r="I45">
        <v>144</v>
      </c>
      <c r="K45">
        <v>1000</v>
      </c>
    </row>
    <row r="46" spans="1:11" x14ac:dyDescent="0.2">
      <c r="A46" t="s">
        <v>43</v>
      </c>
      <c r="F46">
        <v>400</v>
      </c>
      <c r="I46">
        <v>0</v>
      </c>
      <c r="K46">
        <v>400</v>
      </c>
    </row>
    <row r="47" spans="1:11" x14ac:dyDescent="0.2">
      <c r="A47" t="s">
        <v>44</v>
      </c>
      <c r="F47">
        <v>400</v>
      </c>
      <c r="I47">
        <v>112</v>
      </c>
      <c r="K47">
        <v>400</v>
      </c>
    </row>
    <row r="48" spans="1:11" x14ac:dyDescent="0.2">
      <c r="A48" t="s">
        <v>45</v>
      </c>
      <c r="F48">
        <v>700</v>
      </c>
      <c r="I48">
        <v>0</v>
      </c>
      <c r="K48">
        <v>700</v>
      </c>
    </row>
    <row r="49" spans="1:11" x14ac:dyDescent="0.2">
      <c r="A49" t="s">
        <v>46</v>
      </c>
      <c r="F49">
        <v>2000</v>
      </c>
      <c r="I49">
        <v>95</v>
      </c>
      <c r="K49">
        <v>2000</v>
      </c>
    </row>
    <row r="50" spans="1:11" x14ac:dyDescent="0.2">
      <c r="A50" t="s">
        <v>47</v>
      </c>
      <c r="F50">
        <v>400</v>
      </c>
      <c r="I50">
        <v>0</v>
      </c>
      <c r="K50">
        <v>400</v>
      </c>
    </row>
    <row r="51" spans="1:11" x14ac:dyDescent="0.2">
      <c r="A51" t="s">
        <v>48</v>
      </c>
      <c r="F51">
        <v>880</v>
      </c>
      <c r="I51">
        <v>199</v>
      </c>
      <c r="K51">
        <v>880</v>
      </c>
    </row>
    <row r="52" spans="1:11" x14ac:dyDescent="0.2">
      <c r="A52" t="s">
        <v>49</v>
      </c>
      <c r="F52">
        <v>400</v>
      </c>
      <c r="I52">
        <v>0</v>
      </c>
      <c r="K52">
        <v>400</v>
      </c>
    </row>
    <row r="53" spans="1:11" x14ac:dyDescent="0.2">
      <c r="A53" t="s">
        <v>50</v>
      </c>
      <c r="F53">
        <v>1500</v>
      </c>
      <c r="I53">
        <v>0</v>
      </c>
      <c r="K53">
        <v>1500</v>
      </c>
    </row>
    <row r="55" spans="1:11" x14ac:dyDescent="0.2">
      <c r="A55" t="s">
        <v>51</v>
      </c>
    </row>
    <row r="56" spans="1:11" x14ac:dyDescent="0.2">
      <c r="A56" t="s">
        <v>52</v>
      </c>
      <c r="F56">
        <v>2000</v>
      </c>
      <c r="I56">
        <v>29</v>
      </c>
      <c r="K56">
        <v>2000</v>
      </c>
    </row>
    <row r="57" spans="1:11" x14ac:dyDescent="0.2">
      <c r="A57" t="s">
        <v>53</v>
      </c>
      <c r="F57">
        <v>1200</v>
      </c>
      <c r="I57">
        <v>397</v>
      </c>
      <c r="K57">
        <v>1200</v>
      </c>
    </row>
    <row r="58" spans="1:11" x14ac:dyDescent="0.2">
      <c r="A58" t="s">
        <v>54</v>
      </c>
      <c r="F58">
        <v>5800</v>
      </c>
      <c r="I58">
        <v>514</v>
      </c>
      <c r="K58">
        <v>5800</v>
      </c>
    </row>
    <row r="59" spans="1:11" x14ac:dyDescent="0.2">
      <c r="A59" t="s">
        <v>55</v>
      </c>
      <c r="F59">
        <v>1100</v>
      </c>
      <c r="I59">
        <v>0</v>
      </c>
      <c r="K59">
        <v>1100</v>
      </c>
    </row>
    <row r="60" spans="1:11" x14ac:dyDescent="0.2">
      <c r="A60" t="s">
        <v>56</v>
      </c>
      <c r="F60">
        <v>1400</v>
      </c>
      <c r="I60">
        <v>382</v>
      </c>
      <c r="K60">
        <v>1400</v>
      </c>
    </row>
    <row r="61" spans="1:11" x14ac:dyDescent="0.2">
      <c r="A61" t="s">
        <v>57</v>
      </c>
      <c r="F61">
        <v>2200</v>
      </c>
      <c r="I61">
        <v>494</v>
      </c>
      <c r="K61">
        <v>2200</v>
      </c>
    </row>
    <row r="62" spans="1:11" x14ac:dyDescent="0.2">
      <c r="A62" t="s">
        <v>58</v>
      </c>
      <c r="F62">
        <v>2200</v>
      </c>
      <c r="I62">
        <v>963</v>
      </c>
      <c r="K62">
        <v>2200</v>
      </c>
    </row>
    <row r="63" spans="1:11" x14ac:dyDescent="0.2">
      <c r="A63" t="s">
        <v>59</v>
      </c>
      <c r="F63">
        <v>15000</v>
      </c>
      <c r="I63">
        <v>9497</v>
      </c>
      <c r="K63">
        <v>13000</v>
      </c>
    </row>
    <row r="64" spans="1:11" x14ac:dyDescent="0.2">
      <c r="A64" t="s">
        <v>60</v>
      </c>
      <c r="F64">
        <v>3000</v>
      </c>
      <c r="I64">
        <v>2375</v>
      </c>
      <c r="K64">
        <v>3000</v>
      </c>
    </row>
    <row r="65" spans="1:11" x14ac:dyDescent="0.2">
      <c r="A65" t="s">
        <v>61</v>
      </c>
      <c r="F65">
        <v>2300</v>
      </c>
      <c r="I65">
        <v>1563</v>
      </c>
      <c r="K65">
        <v>2800</v>
      </c>
    </row>
    <row r="66" spans="1:11" x14ac:dyDescent="0.2">
      <c r="A66" t="s">
        <v>62</v>
      </c>
      <c r="F66">
        <v>2500</v>
      </c>
      <c r="I66">
        <v>1399</v>
      </c>
      <c r="K66">
        <v>2500</v>
      </c>
    </row>
    <row r="67" spans="1:11" x14ac:dyDescent="0.2">
      <c r="A67" t="s">
        <v>63</v>
      </c>
      <c r="F67">
        <v>200</v>
      </c>
      <c r="I67">
        <v>0</v>
      </c>
      <c r="K67">
        <v>200</v>
      </c>
    </row>
    <row r="68" spans="1:11" x14ac:dyDescent="0.2">
      <c r="A68" t="s">
        <v>64</v>
      </c>
      <c r="F68">
        <v>1500</v>
      </c>
      <c r="I68">
        <v>0</v>
      </c>
      <c r="K68">
        <v>1500</v>
      </c>
    </row>
    <row r="69" spans="1:11" x14ac:dyDescent="0.2">
      <c r="A69" t="s">
        <v>65</v>
      </c>
      <c r="F69">
        <v>2000</v>
      </c>
      <c r="I69">
        <v>0</v>
      </c>
      <c r="K69">
        <v>2000</v>
      </c>
    </row>
    <row r="70" spans="1:11" x14ac:dyDescent="0.2">
      <c r="A70" t="s">
        <v>66</v>
      </c>
      <c r="F70">
        <v>600</v>
      </c>
      <c r="I70">
        <v>703</v>
      </c>
      <c r="K70">
        <v>750</v>
      </c>
    </row>
    <row r="71" spans="1:11" x14ac:dyDescent="0.2">
      <c r="A71" t="s">
        <v>67</v>
      </c>
      <c r="F71">
        <v>500</v>
      </c>
      <c r="I71">
        <v>0</v>
      </c>
      <c r="K71">
        <v>500</v>
      </c>
    </row>
    <row r="72" spans="1:11" x14ac:dyDescent="0.2">
      <c r="A72" t="s">
        <v>68</v>
      </c>
      <c r="F72">
        <v>800</v>
      </c>
      <c r="I72">
        <v>0</v>
      </c>
      <c r="K72">
        <v>800</v>
      </c>
    </row>
    <row r="73" spans="1:11" x14ac:dyDescent="0.2">
      <c r="A73" t="s">
        <v>69</v>
      </c>
      <c r="F73">
        <v>400</v>
      </c>
      <c r="I73">
        <v>158</v>
      </c>
      <c r="K73">
        <v>0</v>
      </c>
    </row>
    <row r="74" spans="1:11" x14ac:dyDescent="0.2">
      <c r="A74" t="s">
        <v>70</v>
      </c>
    </row>
    <row r="75" spans="1:11" x14ac:dyDescent="0.2">
      <c r="A75" t="s">
        <v>71</v>
      </c>
      <c r="F75">
        <v>1100</v>
      </c>
      <c r="I75">
        <v>932</v>
      </c>
      <c r="K75">
        <v>1100</v>
      </c>
    </row>
    <row r="76" spans="1:11" x14ac:dyDescent="0.2">
      <c r="A76" t="s">
        <v>72</v>
      </c>
      <c r="F76">
        <v>3000</v>
      </c>
      <c r="I76">
        <v>2350</v>
      </c>
      <c r="K76">
        <v>3000</v>
      </c>
    </row>
    <row r="77" spans="1:11" x14ac:dyDescent="0.2">
      <c r="A77" s="1" t="s">
        <v>73</v>
      </c>
      <c r="F77">
        <v>5500</v>
      </c>
      <c r="I77">
        <v>1586</v>
      </c>
      <c r="K77">
        <v>5500</v>
      </c>
    </row>
    <row r="78" spans="1:11" x14ac:dyDescent="0.2">
      <c r="A78" t="s">
        <v>74</v>
      </c>
      <c r="F78">
        <v>1500</v>
      </c>
      <c r="I78">
        <v>0</v>
      </c>
      <c r="K78">
        <v>0</v>
      </c>
    </row>
    <row r="79" spans="1:11" x14ac:dyDescent="0.2">
      <c r="A79" t="s">
        <v>75</v>
      </c>
      <c r="F79">
        <v>0</v>
      </c>
      <c r="I79">
        <v>0</v>
      </c>
      <c r="K79">
        <v>1200</v>
      </c>
    </row>
    <row r="80" spans="1:11" x14ac:dyDescent="0.2">
      <c r="A80" t="s">
        <v>76</v>
      </c>
      <c r="F80">
        <v>3200</v>
      </c>
      <c r="I80">
        <v>3200</v>
      </c>
      <c r="K80">
        <v>3200</v>
      </c>
    </row>
    <row r="81" spans="1:11" x14ac:dyDescent="0.2">
      <c r="A81" t="s">
        <v>20</v>
      </c>
      <c r="F81">
        <v>118340</v>
      </c>
      <c r="I81">
        <v>36136</v>
      </c>
      <c r="K81">
        <v>108285</v>
      </c>
    </row>
  </sheetData>
  <pageMargins left="0.5" right="0.25" top="0.75" bottom="0.5" header="0.3" footer="0.3"/>
  <pageSetup scale="5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2024</vt:lpstr>
      <vt:lpstr>2023</vt:lpstr>
      <vt:lpstr>2022</vt:lpstr>
      <vt:lpstr>2021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WEST</dc:creator>
  <cp:lastModifiedBy>Louis Trygar</cp:lastModifiedBy>
  <cp:lastPrinted>2023-11-15T01:45:50Z</cp:lastPrinted>
  <dcterms:created xsi:type="dcterms:W3CDTF">2020-10-10T23:29:15Z</dcterms:created>
  <dcterms:modified xsi:type="dcterms:W3CDTF">2025-05-02T00:16:14Z</dcterms:modified>
</cp:coreProperties>
</file>